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42.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0.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55EC34D0-DAAE-4242-BD8D-312EABBF4124}" xr6:coauthVersionLast="47" xr6:coauthVersionMax="47" xr10:uidLastSave="{00000000-0000-0000-0000-000000000000}"/>
  <workbookProtection workbookPassword="C1ED" lockStructure="1"/>
  <bookViews>
    <workbookView xWindow="19065" yWindow="1350" windowWidth="27495" windowHeight="18420" xr2:uid="{00000000-000D-0000-FFFF-FFFF00000000}"/>
  </bookViews>
  <sheets>
    <sheet name="ebea KP" sheetId="4" r:id="rId1"/>
    <sheet name="." sheetId="2" state="hidden" r:id="rId2"/>
    <sheet name="TW" sheetId="6" state="hidden" r:id="rId3"/>
    <sheet name="BP" sheetId="7" state="hidden" r:id="rId4"/>
  </sheets>
  <definedNames>
    <definedName name="_xlnm.Print_Area" localSheetId="0">'ebea KP'!$A$1:$BD$40</definedName>
    <definedName name="Print_Area" localSheetId="0">'ebea KP'!$A$1:$BC$40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29" i="4" l="1"/>
  <c r="BW28" i="4"/>
  <c r="BW27" i="4"/>
  <c r="BW26" i="4"/>
  <c r="BW25" i="4"/>
  <c r="BW24" i="4"/>
  <c r="BW23" i="4"/>
  <c r="BW22" i="4"/>
  <c r="BW21" i="4"/>
  <c r="BW20" i="4"/>
  <c r="BW19" i="4"/>
  <c r="BW18" i="4"/>
  <c r="BW17" i="4"/>
  <c r="BW16" i="4"/>
  <c r="BW15" i="4"/>
  <c r="AI29" i="4" l="1"/>
  <c r="AI28" i="4"/>
  <c r="AI27" i="4"/>
  <c r="AI26" i="4"/>
  <c r="AI25" i="4"/>
  <c r="AI24" i="4"/>
  <c r="AI23" i="4"/>
  <c r="AI22" i="4"/>
  <c r="AI21" i="4"/>
  <c r="AI20" i="4"/>
  <c r="AI19" i="4"/>
  <c r="AI18" i="4"/>
  <c r="AI17" i="4"/>
  <c r="AI16" i="4"/>
  <c r="AI15" i="4"/>
  <c r="AS29" i="4" l="1"/>
  <c r="AQ29" i="4"/>
  <c r="AO29" i="4"/>
  <c r="X29" i="4"/>
  <c r="AS28" i="4"/>
  <c r="AQ28" i="4"/>
  <c r="AO28" i="4"/>
  <c r="X28" i="4"/>
  <c r="AS27" i="4"/>
  <c r="AQ27" i="4"/>
  <c r="AO27" i="4"/>
  <c r="X27" i="4"/>
  <c r="AS26" i="4"/>
  <c r="AQ26" i="4"/>
  <c r="AO26" i="4"/>
  <c r="X26" i="4"/>
  <c r="AS25" i="4"/>
  <c r="AQ25" i="4"/>
  <c r="AO25" i="4"/>
  <c r="X25" i="4"/>
  <c r="AS24" i="4"/>
  <c r="AQ24" i="4"/>
  <c r="AO24" i="4"/>
  <c r="X24" i="4"/>
  <c r="AS23" i="4"/>
  <c r="AQ23" i="4"/>
  <c r="AO23" i="4"/>
  <c r="X23" i="4"/>
  <c r="AS22" i="4"/>
  <c r="AQ22" i="4"/>
  <c r="AO22" i="4"/>
  <c r="X22" i="4"/>
  <c r="AS21" i="4"/>
  <c r="AQ21" i="4"/>
  <c r="AO21" i="4"/>
  <c r="X21" i="4"/>
  <c r="AS20" i="4"/>
  <c r="AQ20" i="4"/>
  <c r="AO20" i="4"/>
  <c r="X20" i="4"/>
  <c r="AS19" i="4"/>
  <c r="AQ19" i="4"/>
  <c r="AO19" i="4"/>
  <c r="X19" i="4"/>
  <c r="AS18" i="4"/>
  <c r="AQ18" i="4"/>
  <c r="AO18" i="4"/>
  <c r="X18" i="4"/>
  <c r="AS17" i="4"/>
  <c r="AQ17" i="4"/>
  <c r="AO17" i="4"/>
  <c r="X17" i="4"/>
  <c r="AS16" i="4"/>
  <c r="AQ16" i="4"/>
  <c r="AO16" i="4"/>
  <c r="X16" i="4"/>
  <c r="ED29" i="4" l="1"/>
  <c r="ED28" i="4"/>
  <c r="ED27" i="4"/>
  <c r="ED26" i="4"/>
  <c r="ED25" i="4"/>
  <c r="ED24" i="4"/>
  <c r="ED23" i="4"/>
  <c r="ED22" i="4"/>
  <c r="ED21" i="4"/>
  <c r="ED20" i="4"/>
  <c r="ED19" i="4"/>
  <c r="ED18" i="4"/>
  <c r="ED17" i="4"/>
  <c r="ED16" i="4"/>
  <c r="ED15" i="4"/>
  <c r="GY29" i="4"/>
  <c r="FN29" i="4"/>
  <c r="FL29" i="4"/>
  <c r="GA29" i="4" s="1"/>
  <c r="FH29" i="4"/>
  <c r="FI29" i="4" s="1"/>
  <c r="FG29" i="4"/>
  <c r="FF29" i="4"/>
  <c r="HF29" i="4" s="1"/>
  <c r="FE29" i="4"/>
  <c r="ES29" i="4"/>
  <c r="FJ29" i="4" s="1"/>
  <c r="FP29" i="4" s="1"/>
  <c r="ER29" i="4"/>
  <c r="EO29" i="4"/>
  <c r="EM29" i="4"/>
  <c r="EU29" i="4" s="1"/>
  <c r="EL29" i="4"/>
  <c r="FK29" i="4" s="1"/>
  <c r="EH29" i="4"/>
  <c r="EG29" i="4"/>
  <c r="EB29" i="4"/>
  <c r="EC29" i="4" s="1"/>
  <c r="DX29" i="4"/>
  <c r="DY29" i="4" s="1"/>
  <c r="GR29" i="4" s="1"/>
  <c r="DW29" i="4"/>
  <c r="DV29" i="4"/>
  <c r="GV29" i="4" s="1"/>
  <c r="DS29" i="4"/>
  <c r="DO29" i="4"/>
  <c r="DN29" i="4"/>
  <c r="DP29" i="4" s="1"/>
  <c r="FB29" i="4" s="1"/>
  <c r="DF29" i="4"/>
  <c r="DG29" i="4" s="1"/>
  <c r="DD29" i="4"/>
  <c r="DH29" i="4" s="1"/>
  <c r="DC29" i="4"/>
  <c r="CZ29" i="4"/>
  <c r="DL29" i="4" s="1"/>
  <c r="BI29" i="4" s="1"/>
  <c r="CY29" i="4"/>
  <c r="CX29" i="4"/>
  <c r="CW29" i="4"/>
  <c r="CU29" i="4"/>
  <c r="CS29" i="4"/>
  <c r="CN29" i="4"/>
  <c r="CO29" i="4" s="1"/>
  <c r="CL29" i="4"/>
  <c r="CQ29" i="4" s="1"/>
  <c r="CJ29" i="4"/>
  <c r="CI29" i="4"/>
  <c r="CH29" i="4"/>
  <c r="CG29" i="4"/>
  <c r="CF29" i="4"/>
  <c r="GY28" i="4"/>
  <c r="FN28" i="4"/>
  <c r="FH28" i="4"/>
  <c r="FI28" i="4" s="1"/>
  <c r="FL28" i="4" s="1"/>
  <c r="GA28" i="4" s="1"/>
  <c r="FG28" i="4"/>
  <c r="FF28" i="4"/>
  <c r="HF28" i="4" s="1"/>
  <c r="FE28" i="4"/>
  <c r="ES28" i="4"/>
  <c r="EX28" i="4" s="1"/>
  <c r="ER28" i="4"/>
  <c r="EO28" i="4"/>
  <c r="EM28" i="4"/>
  <c r="EU28" i="4" s="1"/>
  <c r="EL28" i="4"/>
  <c r="ET28" i="4" s="1"/>
  <c r="EH28" i="4"/>
  <c r="EG28" i="4"/>
  <c r="EB28" i="4"/>
  <c r="EC28" i="4" s="1"/>
  <c r="DX28" i="4"/>
  <c r="DY28" i="4" s="1"/>
  <c r="GR28" i="4" s="1"/>
  <c r="DW28" i="4"/>
  <c r="DV28" i="4"/>
  <c r="EE28" i="4" s="1"/>
  <c r="DS28" i="4"/>
  <c r="DO28" i="4"/>
  <c r="DN28" i="4"/>
  <c r="DP28" i="4" s="1"/>
  <c r="DI28" i="4"/>
  <c r="DF28" i="4"/>
  <c r="DG28" i="4" s="1"/>
  <c r="DD28" i="4"/>
  <c r="DE28" i="4" s="1"/>
  <c r="DC28" i="4"/>
  <c r="CZ28" i="4"/>
  <c r="DL28" i="4" s="1"/>
  <c r="BI28" i="4" s="1"/>
  <c r="CY28" i="4"/>
  <c r="CS28" i="4" s="1"/>
  <c r="CX28" i="4"/>
  <c r="CW28" i="4"/>
  <c r="CN28" i="4"/>
  <c r="CO28" i="4" s="1"/>
  <c r="CL28" i="4"/>
  <c r="CJ28" i="4"/>
  <c r="CI28" i="4"/>
  <c r="CH28" i="4"/>
  <c r="CM28" i="4" s="1"/>
  <c r="CG28" i="4"/>
  <c r="CF28" i="4"/>
  <c r="GY27" i="4"/>
  <c r="FN27" i="4"/>
  <c r="FH27" i="4"/>
  <c r="FI27" i="4" s="1"/>
  <c r="FG27" i="4"/>
  <c r="FF27" i="4"/>
  <c r="HE27" i="4" s="1"/>
  <c r="FE27" i="4"/>
  <c r="ES27" i="4"/>
  <c r="EX27" i="4" s="1"/>
  <c r="ER27" i="4"/>
  <c r="EO27" i="4"/>
  <c r="EM27" i="4"/>
  <c r="EN27" i="4" s="1"/>
  <c r="EL27" i="4"/>
  <c r="EH27" i="4"/>
  <c r="EG27" i="4"/>
  <c r="EB27" i="4"/>
  <c r="EC27" i="4" s="1"/>
  <c r="DX27" i="4"/>
  <c r="DY27" i="4" s="1"/>
  <c r="DW27" i="4"/>
  <c r="DV27" i="4"/>
  <c r="GV27" i="4" s="1"/>
  <c r="DS27" i="4"/>
  <c r="DO27" i="4"/>
  <c r="DN27" i="4"/>
  <c r="DP27" i="4" s="1"/>
  <c r="FB27" i="4" s="1"/>
  <c r="DF27" i="4"/>
  <c r="DG27" i="4" s="1"/>
  <c r="DD27" i="4"/>
  <c r="DH27" i="4" s="1"/>
  <c r="DC27" i="4"/>
  <c r="CZ27" i="4"/>
  <c r="CY27" i="4"/>
  <c r="CX27" i="4"/>
  <c r="CW27" i="4"/>
  <c r="CU27" i="4"/>
  <c r="CS27" i="4"/>
  <c r="CN27" i="4"/>
  <c r="CO27" i="4" s="1"/>
  <c r="CJ27" i="4"/>
  <c r="CI27" i="4"/>
  <c r="CH27" i="4"/>
  <c r="CG27" i="4"/>
  <c r="CF27" i="4"/>
  <c r="GY26" i="4"/>
  <c r="FN26" i="4"/>
  <c r="FH26" i="4"/>
  <c r="FI26" i="4" s="1"/>
  <c r="FG26" i="4"/>
  <c r="FF26" i="4"/>
  <c r="HF26" i="4" s="1"/>
  <c r="FE26" i="4"/>
  <c r="ES26" i="4"/>
  <c r="ER26" i="4"/>
  <c r="EO26" i="4"/>
  <c r="EM26" i="4"/>
  <c r="EU26" i="4" s="1"/>
  <c r="EL26" i="4"/>
  <c r="FK26" i="4" s="1"/>
  <c r="EH26" i="4"/>
  <c r="EG26" i="4"/>
  <c r="EB26" i="4"/>
  <c r="EC26" i="4" s="1"/>
  <c r="DX26" i="4"/>
  <c r="DW26" i="4"/>
  <c r="DV26" i="4"/>
  <c r="GV26" i="4" s="1"/>
  <c r="DS26" i="4"/>
  <c r="DO26" i="4"/>
  <c r="DN26" i="4"/>
  <c r="DP26" i="4" s="1"/>
  <c r="FB26" i="4" s="1"/>
  <c r="FC26" i="4" s="1"/>
  <c r="DI26" i="4"/>
  <c r="DF26" i="4"/>
  <c r="DG26" i="4" s="1"/>
  <c r="DD26" i="4"/>
  <c r="DH26" i="4" s="1"/>
  <c r="DC26" i="4"/>
  <c r="CZ26" i="4"/>
  <c r="CX26" i="4"/>
  <c r="CW26" i="4"/>
  <c r="CU26" i="4"/>
  <c r="CS26" i="4"/>
  <c r="CN26" i="4"/>
  <c r="CO26" i="4" s="1"/>
  <c r="CL26" i="4"/>
  <c r="CQ26" i="4" s="1"/>
  <c r="CJ26" i="4"/>
  <c r="CI26" i="4"/>
  <c r="CH26" i="4"/>
  <c r="CG26" i="4"/>
  <c r="CF26" i="4"/>
  <c r="GY25" i="4"/>
  <c r="FN25" i="4"/>
  <c r="FH25" i="4"/>
  <c r="FI25" i="4" s="1"/>
  <c r="FL25" i="4" s="1"/>
  <c r="GA25" i="4" s="1"/>
  <c r="FG25" i="4"/>
  <c r="FF25" i="4"/>
  <c r="GK25" i="4" s="1"/>
  <c r="FE25" i="4"/>
  <c r="ES25" i="4"/>
  <c r="EX25" i="4" s="1"/>
  <c r="ER25" i="4"/>
  <c r="EO25" i="4"/>
  <c r="EM25" i="4"/>
  <c r="EU25" i="4" s="1"/>
  <c r="EL25" i="4"/>
  <c r="FK25" i="4" s="1"/>
  <c r="EH25" i="4"/>
  <c r="EG25" i="4"/>
  <c r="EB25" i="4"/>
  <c r="EC25" i="4" s="1"/>
  <c r="DX25" i="4"/>
  <c r="DY25" i="4" s="1"/>
  <c r="GR25" i="4" s="1"/>
  <c r="DW25" i="4"/>
  <c r="DV25" i="4"/>
  <c r="GV25" i="4" s="1"/>
  <c r="DS25" i="4"/>
  <c r="DO25" i="4"/>
  <c r="DN25" i="4"/>
  <c r="DP25" i="4" s="1"/>
  <c r="DI25" i="4"/>
  <c r="DF25" i="4"/>
  <c r="DG25" i="4" s="1"/>
  <c r="DD25" i="4"/>
  <c r="DH25" i="4" s="1"/>
  <c r="DC25" i="4"/>
  <c r="CZ25" i="4"/>
  <c r="DL25" i="4" s="1"/>
  <c r="BI25" i="4" s="1"/>
  <c r="CY25" i="4"/>
  <c r="CX25" i="4"/>
  <c r="CW25" i="4"/>
  <c r="CU25" i="4"/>
  <c r="CS25" i="4"/>
  <c r="CN25" i="4"/>
  <c r="CO25" i="4" s="1"/>
  <c r="CL25" i="4"/>
  <c r="CQ25" i="4" s="1"/>
  <c r="CJ25" i="4"/>
  <c r="CI25" i="4"/>
  <c r="CH25" i="4"/>
  <c r="CM25" i="4" s="1"/>
  <c r="CG25" i="4"/>
  <c r="CF25" i="4"/>
  <c r="GY24" i="4"/>
  <c r="FN24" i="4"/>
  <c r="FL24" i="4"/>
  <c r="GA24" i="4" s="1"/>
  <c r="FH24" i="4"/>
  <c r="FI24" i="4" s="1"/>
  <c r="FG24" i="4"/>
  <c r="FF24" i="4"/>
  <c r="HF24" i="4" s="1"/>
  <c r="FE24" i="4"/>
  <c r="ES24" i="4"/>
  <c r="FJ24" i="4" s="1"/>
  <c r="ER24" i="4"/>
  <c r="EO24" i="4"/>
  <c r="EM24" i="4"/>
  <c r="EU24" i="4" s="1"/>
  <c r="EL24" i="4"/>
  <c r="ET24" i="4" s="1"/>
  <c r="EH24" i="4"/>
  <c r="EG24" i="4"/>
  <c r="EB24" i="4"/>
  <c r="EC24" i="4" s="1"/>
  <c r="DX24" i="4"/>
  <c r="DY24" i="4" s="1"/>
  <c r="GR24" i="4" s="1"/>
  <c r="DW24" i="4"/>
  <c r="DV24" i="4"/>
  <c r="EE24" i="4" s="1"/>
  <c r="DS24" i="4"/>
  <c r="DO24" i="4"/>
  <c r="DN24" i="4"/>
  <c r="DP24" i="4" s="1"/>
  <c r="DI24" i="4"/>
  <c r="DF24" i="4"/>
  <c r="DG24" i="4" s="1"/>
  <c r="DD24" i="4"/>
  <c r="DH24" i="4" s="1"/>
  <c r="DC24" i="4"/>
  <c r="CZ24" i="4"/>
  <c r="DL24" i="4" s="1"/>
  <c r="BI24" i="4" s="1"/>
  <c r="CY24" i="4"/>
  <c r="CX24" i="4"/>
  <c r="CW24" i="4"/>
  <c r="CU24" i="4"/>
  <c r="CS24" i="4"/>
  <c r="CN24" i="4"/>
  <c r="CO24" i="4" s="1"/>
  <c r="CJ24" i="4"/>
  <c r="CI24" i="4"/>
  <c r="CH24" i="4"/>
  <c r="CM24" i="4" s="1"/>
  <c r="CG24" i="4"/>
  <c r="CF24" i="4"/>
  <c r="GY23" i="4"/>
  <c r="FN23" i="4"/>
  <c r="FL23" i="4"/>
  <c r="GA23" i="4" s="1"/>
  <c r="FH23" i="4"/>
  <c r="FI23" i="4" s="1"/>
  <c r="FG23" i="4"/>
  <c r="FF23" i="4"/>
  <c r="GK23" i="4" s="1"/>
  <c r="FE23" i="4"/>
  <c r="ES23" i="4"/>
  <c r="FJ23" i="4" s="1"/>
  <c r="FQ23" i="4" s="1"/>
  <c r="ER23" i="4"/>
  <c r="EO23" i="4"/>
  <c r="EM23" i="4"/>
  <c r="EN23" i="4" s="1"/>
  <c r="EL23" i="4"/>
  <c r="EH23" i="4"/>
  <c r="EG23" i="4"/>
  <c r="EB23" i="4"/>
  <c r="EC23" i="4" s="1"/>
  <c r="DX23" i="4"/>
  <c r="DW23" i="4"/>
  <c r="DV23" i="4"/>
  <c r="GV23" i="4" s="1"/>
  <c r="DS23" i="4"/>
  <c r="DO23" i="4"/>
  <c r="DN23" i="4"/>
  <c r="DP23" i="4" s="1"/>
  <c r="FB23" i="4" s="1"/>
  <c r="DF23" i="4"/>
  <c r="DG23" i="4" s="1"/>
  <c r="DD23" i="4"/>
  <c r="DE23" i="4" s="1"/>
  <c r="DC23" i="4"/>
  <c r="CZ23" i="4"/>
  <c r="CX23" i="4"/>
  <c r="CW23" i="4"/>
  <c r="CU23" i="4"/>
  <c r="CS23" i="4"/>
  <c r="CN23" i="4"/>
  <c r="CO23" i="4" s="1"/>
  <c r="CL23" i="4"/>
  <c r="CV23" i="4" s="1"/>
  <c r="BF23" i="4" s="1"/>
  <c r="CJ23" i="4"/>
  <c r="CI23" i="4"/>
  <c r="CH23" i="4"/>
  <c r="CG23" i="4"/>
  <c r="CF23" i="4"/>
  <c r="GY22" i="4"/>
  <c r="FN22" i="4"/>
  <c r="FH22" i="4"/>
  <c r="FI22" i="4" s="1"/>
  <c r="FL22" i="4" s="1"/>
  <c r="GA22" i="4" s="1"/>
  <c r="FG22" i="4"/>
  <c r="FF22" i="4"/>
  <c r="FE22" i="4"/>
  <c r="ES22" i="4"/>
  <c r="ER22" i="4"/>
  <c r="EO22" i="4"/>
  <c r="EM22" i="4"/>
  <c r="EN22" i="4" s="1"/>
  <c r="EL22" i="4"/>
  <c r="EH22" i="4"/>
  <c r="EG22" i="4"/>
  <c r="EB22" i="4"/>
  <c r="EC22" i="4" s="1"/>
  <c r="DX22" i="4"/>
  <c r="DY22" i="4" s="1"/>
  <c r="DW22" i="4"/>
  <c r="DV22" i="4"/>
  <c r="GV22" i="4" s="1"/>
  <c r="DS22" i="4"/>
  <c r="DO22" i="4"/>
  <c r="DN22" i="4"/>
  <c r="DP22" i="4" s="1"/>
  <c r="DI22" i="4"/>
  <c r="DF22" i="4"/>
  <c r="DG22" i="4" s="1"/>
  <c r="DD22" i="4"/>
  <c r="DH22" i="4" s="1"/>
  <c r="DC22" i="4"/>
  <c r="CZ22" i="4"/>
  <c r="CY22" i="4"/>
  <c r="CX22" i="4"/>
  <c r="CW22" i="4"/>
  <c r="CU22" i="4"/>
  <c r="CS22" i="4"/>
  <c r="CN22" i="4"/>
  <c r="CO22" i="4" s="1"/>
  <c r="CJ22" i="4"/>
  <c r="CI22" i="4"/>
  <c r="CH22" i="4"/>
  <c r="CM22" i="4" s="1"/>
  <c r="CG22" i="4"/>
  <c r="CF22" i="4"/>
  <c r="GY21" i="4"/>
  <c r="FN21" i="4"/>
  <c r="FL21" i="4"/>
  <c r="GA21" i="4" s="1"/>
  <c r="FH21" i="4"/>
  <c r="FI21" i="4" s="1"/>
  <c r="FG21" i="4"/>
  <c r="FF21" i="4"/>
  <c r="GK21" i="4" s="1"/>
  <c r="FE21" i="4"/>
  <c r="ES21" i="4"/>
  <c r="FJ21" i="4" s="1"/>
  <c r="ER21" i="4"/>
  <c r="EO21" i="4"/>
  <c r="EM21" i="4"/>
  <c r="EU21" i="4" s="1"/>
  <c r="EL21" i="4"/>
  <c r="ET21" i="4" s="1"/>
  <c r="EH21" i="4"/>
  <c r="EG21" i="4"/>
  <c r="EB21" i="4"/>
  <c r="EC21" i="4" s="1"/>
  <c r="DX21" i="4"/>
  <c r="DY21" i="4" s="1"/>
  <c r="DW21" i="4"/>
  <c r="DV21" i="4"/>
  <c r="GV21" i="4" s="1"/>
  <c r="DS21" i="4"/>
  <c r="DO21" i="4"/>
  <c r="DN21" i="4"/>
  <c r="DP21" i="4" s="1"/>
  <c r="FB21" i="4" s="1"/>
  <c r="DF21" i="4"/>
  <c r="DG21" i="4" s="1"/>
  <c r="DD21" i="4"/>
  <c r="DH21" i="4" s="1"/>
  <c r="DC21" i="4"/>
  <c r="CZ21" i="4"/>
  <c r="DL21" i="4" s="1"/>
  <c r="BI21" i="4" s="1"/>
  <c r="CY21" i="4"/>
  <c r="CX21" i="4"/>
  <c r="CW21" i="4"/>
  <c r="CU21" i="4"/>
  <c r="CS21" i="4"/>
  <c r="CN21" i="4"/>
  <c r="CO21" i="4" s="1"/>
  <c r="CL21" i="4"/>
  <c r="CQ21" i="4" s="1"/>
  <c r="CJ21" i="4"/>
  <c r="CI21" i="4"/>
  <c r="CH21" i="4"/>
  <c r="CM21" i="4" s="1"/>
  <c r="CG21" i="4"/>
  <c r="CF21" i="4"/>
  <c r="GY20" i="4"/>
  <c r="FN20" i="4"/>
  <c r="FL20" i="4"/>
  <c r="GA20" i="4" s="1"/>
  <c r="FH20" i="4"/>
  <c r="FI20" i="4" s="1"/>
  <c r="FG20" i="4"/>
  <c r="FF20" i="4"/>
  <c r="GK20" i="4" s="1"/>
  <c r="FE20" i="4"/>
  <c r="ES20" i="4"/>
  <c r="FJ20" i="4" s="1"/>
  <c r="ER20" i="4"/>
  <c r="EO20" i="4"/>
  <c r="EM20" i="4"/>
  <c r="EU20" i="4" s="1"/>
  <c r="EL20" i="4"/>
  <c r="ET20" i="4" s="1"/>
  <c r="EH20" i="4"/>
  <c r="EG20" i="4"/>
  <c r="EB20" i="4"/>
  <c r="EC20" i="4" s="1"/>
  <c r="DX20" i="4"/>
  <c r="DY20" i="4" s="1"/>
  <c r="DZ20" i="4" s="1"/>
  <c r="DW20" i="4"/>
  <c r="DV20" i="4"/>
  <c r="GV20" i="4" s="1"/>
  <c r="DS20" i="4"/>
  <c r="DO20" i="4"/>
  <c r="DN20" i="4"/>
  <c r="DP20" i="4" s="1"/>
  <c r="DI20" i="4"/>
  <c r="DF20" i="4"/>
  <c r="DG20" i="4" s="1"/>
  <c r="DD20" i="4"/>
  <c r="DE20" i="4" s="1"/>
  <c r="DC20" i="4"/>
  <c r="CZ20" i="4"/>
  <c r="CY20" i="4"/>
  <c r="CX20" i="4"/>
  <c r="CW20" i="4"/>
  <c r="CU20" i="4"/>
  <c r="CS20" i="4"/>
  <c r="CN20" i="4"/>
  <c r="CO20" i="4" s="1"/>
  <c r="CL20" i="4"/>
  <c r="CQ20" i="4" s="1"/>
  <c r="CJ20" i="4"/>
  <c r="CI20" i="4"/>
  <c r="CH20" i="4"/>
  <c r="CM20" i="4" s="1"/>
  <c r="CG20" i="4"/>
  <c r="CF20" i="4"/>
  <c r="GY19" i="4"/>
  <c r="FN19" i="4"/>
  <c r="FH19" i="4"/>
  <c r="FI19" i="4" s="1"/>
  <c r="FL19" i="4" s="1"/>
  <c r="GA19" i="4" s="1"/>
  <c r="FG19" i="4"/>
  <c r="FF19" i="4"/>
  <c r="GK19" i="4" s="1"/>
  <c r="FE19" i="4"/>
  <c r="ES19" i="4"/>
  <c r="FJ19" i="4" s="1"/>
  <c r="ER19" i="4"/>
  <c r="EO19" i="4"/>
  <c r="EM19" i="4"/>
  <c r="EN19" i="4" s="1"/>
  <c r="EL19" i="4"/>
  <c r="EH19" i="4"/>
  <c r="EG19" i="4"/>
  <c r="EB19" i="4"/>
  <c r="EC19" i="4" s="1"/>
  <c r="DX19" i="4"/>
  <c r="DY19" i="4" s="1"/>
  <c r="DZ19" i="4" s="1"/>
  <c r="GS19" i="4" s="1"/>
  <c r="DW19" i="4"/>
  <c r="DV19" i="4"/>
  <c r="EF19" i="4" s="1"/>
  <c r="DS19" i="4"/>
  <c r="DO19" i="4"/>
  <c r="DN19" i="4"/>
  <c r="DP19" i="4" s="1"/>
  <c r="DI19" i="4"/>
  <c r="DF19" i="4"/>
  <c r="DG19" i="4" s="1"/>
  <c r="DD19" i="4"/>
  <c r="DE19" i="4" s="1"/>
  <c r="DC19" i="4"/>
  <c r="CZ19" i="4"/>
  <c r="DL19" i="4" s="1"/>
  <c r="BI19" i="4" s="1"/>
  <c r="CY19" i="4"/>
  <c r="CX19" i="4"/>
  <c r="CW19" i="4"/>
  <c r="CU19" i="4"/>
  <c r="CS19" i="4"/>
  <c r="CN19" i="4"/>
  <c r="CO19" i="4" s="1"/>
  <c r="CL19" i="4"/>
  <c r="CJ19" i="4"/>
  <c r="CI19" i="4"/>
  <c r="CH19" i="4"/>
  <c r="CM19" i="4" s="1"/>
  <c r="CG19" i="4"/>
  <c r="CF19" i="4"/>
  <c r="GY18" i="4"/>
  <c r="FN18" i="4"/>
  <c r="FH18" i="4"/>
  <c r="FI18" i="4" s="1"/>
  <c r="FL18" i="4" s="1"/>
  <c r="GA18" i="4" s="1"/>
  <c r="FG18" i="4"/>
  <c r="FF18" i="4"/>
  <c r="HE18" i="4" s="1"/>
  <c r="FE18" i="4"/>
  <c r="ES18" i="4"/>
  <c r="EX18" i="4" s="1"/>
  <c r="ER18" i="4"/>
  <c r="EO18" i="4"/>
  <c r="EM18" i="4"/>
  <c r="EN18" i="4" s="1"/>
  <c r="EL18" i="4"/>
  <c r="ET18" i="4" s="1"/>
  <c r="EH18" i="4"/>
  <c r="EG18" i="4"/>
  <c r="EB18" i="4"/>
  <c r="EC18" i="4" s="1"/>
  <c r="DX18" i="4"/>
  <c r="DY18" i="4" s="1"/>
  <c r="DW18" i="4"/>
  <c r="DV18" i="4"/>
  <c r="GV18" i="4" s="1"/>
  <c r="DS18" i="4"/>
  <c r="DO18" i="4"/>
  <c r="DN18" i="4"/>
  <c r="DP18" i="4" s="1"/>
  <c r="DI18" i="4"/>
  <c r="DF18" i="4"/>
  <c r="DG18" i="4" s="1"/>
  <c r="DD18" i="4"/>
  <c r="DH18" i="4" s="1"/>
  <c r="DC18" i="4"/>
  <c r="CZ18" i="4"/>
  <c r="DL18" i="4" s="1"/>
  <c r="BI18" i="4" s="1"/>
  <c r="CY18" i="4"/>
  <c r="CX18" i="4"/>
  <c r="CW18" i="4"/>
  <c r="CU18" i="4"/>
  <c r="CS18" i="4"/>
  <c r="CN18" i="4"/>
  <c r="CO18" i="4" s="1"/>
  <c r="CJ18" i="4"/>
  <c r="CI18" i="4"/>
  <c r="CH18" i="4"/>
  <c r="CM18" i="4" s="1"/>
  <c r="CG18" i="4"/>
  <c r="CF18" i="4"/>
  <c r="GY17" i="4"/>
  <c r="FN17" i="4"/>
  <c r="FL17" i="4"/>
  <c r="GA17" i="4" s="1"/>
  <c r="FH17" i="4"/>
  <c r="FI17" i="4" s="1"/>
  <c r="FG17" i="4"/>
  <c r="FF17" i="4"/>
  <c r="HF17" i="4" s="1"/>
  <c r="FE17" i="4"/>
  <c r="ES17" i="4"/>
  <c r="EX17" i="4" s="1"/>
  <c r="ER17" i="4"/>
  <c r="EO17" i="4"/>
  <c r="EM17" i="4"/>
  <c r="EN17" i="4" s="1"/>
  <c r="EL17" i="4"/>
  <c r="FK17" i="4" s="1"/>
  <c r="EH17" i="4"/>
  <c r="EG17" i="4"/>
  <c r="EB17" i="4"/>
  <c r="EC17" i="4" s="1"/>
  <c r="DX17" i="4"/>
  <c r="DY17" i="4" s="1"/>
  <c r="DZ17" i="4" s="1"/>
  <c r="GS17" i="4" s="1"/>
  <c r="DW17" i="4"/>
  <c r="DV17" i="4"/>
  <c r="GV17" i="4" s="1"/>
  <c r="DS17" i="4"/>
  <c r="DO17" i="4"/>
  <c r="DN17" i="4"/>
  <c r="DP17" i="4" s="1"/>
  <c r="FB17" i="4" s="1"/>
  <c r="FC17" i="4" s="1"/>
  <c r="DI17" i="4"/>
  <c r="DF17" i="4"/>
  <c r="DG17" i="4" s="1"/>
  <c r="DD17" i="4"/>
  <c r="DH17" i="4" s="1"/>
  <c r="DC17" i="4"/>
  <c r="CZ17" i="4"/>
  <c r="DL17" i="4" s="1"/>
  <c r="BI17" i="4" s="1"/>
  <c r="CY17" i="4"/>
  <c r="CX17" i="4"/>
  <c r="CW17" i="4"/>
  <c r="CU17" i="4"/>
  <c r="CS17" i="4"/>
  <c r="CN17" i="4"/>
  <c r="CO17" i="4" s="1"/>
  <c r="CL17" i="4"/>
  <c r="CQ17" i="4" s="1"/>
  <c r="CJ17" i="4"/>
  <c r="CI17" i="4"/>
  <c r="CH17" i="4"/>
  <c r="CG17" i="4"/>
  <c r="CF17" i="4"/>
  <c r="GY16" i="4"/>
  <c r="FN16" i="4"/>
  <c r="FH16" i="4"/>
  <c r="FI16" i="4" s="1"/>
  <c r="FG16" i="4"/>
  <c r="FF16" i="4"/>
  <c r="GK16" i="4" s="1"/>
  <c r="FE16" i="4"/>
  <c r="ES16" i="4"/>
  <c r="EX16" i="4" s="1"/>
  <c r="ER16" i="4"/>
  <c r="EO16" i="4"/>
  <c r="EM16" i="4"/>
  <c r="EU16" i="4" s="1"/>
  <c r="EL16" i="4"/>
  <c r="EH16" i="4"/>
  <c r="EG16" i="4"/>
  <c r="EB16" i="4"/>
  <c r="EC16" i="4" s="1"/>
  <c r="DX16" i="4"/>
  <c r="DY16" i="4" s="1"/>
  <c r="DW16" i="4"/>
  <c r="DV16" i="4"/>
  <c r="GV16" i="4" s="1"/>
  <c r="DS16" i="4"/>
  <c r="DO16" i="4"/>
  <c r="DN16" i="4"/>
  <c r="DP16" i="4" s="1"/>
  <c r="DI16" i="4"/>
  <c r="DF16" i="4"/>
  <c r="DG16" i="4" s="1"/>
  <c r="DD16" i="4"/>
  <c r="DH16" i="4" s="1"/>
  <c r="DC16" i="4"/>
  <c r="CZ16" i="4"/>
  <c r="CY16" i="4"/>
  <c r="CX16" i="4"/>
  <c r="CW16" i="4"/>
  <c r="CU16" i="4"/>
  <c r="CS16" i="4"/>
  <c r="CN16" i="4"/>
  <c r="CO16" i="4" s="1"/>
  <c r="CJ16" i="4"/>
  <c r="CI16" i="4"/>
  <c r="CH16" i="4"/>
  <c r="CM16" i="4" s="1"/>
  <c r="CG16" i="4"/>
  <c r="CF16" i="4"/>
  <c r="ES15" i="4"/>
  <c r="EW15" i="4" s="1"/>
  <c r="EO15" i="4"/>
  <c r="EM15" i="4"/>
  <c r="EU15" i="4" s="1"/>
  <c r="EL15" i="4"/>
  <c r="ET15" i="4" s="1"/>
  <c r="DV15" i="4"/>
  <c r="GT17" i="4" l="1"/>
  <c r="HF25" i="4"/>
  <c r="DA24" i="4"/>
  <c r="DB24" i="4" s="1"/>
  <c r="BG24" i="4" s="1"/>
  <c r="CT20" i="4"/>
  <c r="EE29" i="4"/>
  <c r="GD18" i="4"/>
  <c r="FL16" i="4"/>
  <c r="GA16" i="4" s="1"/>
  <c r="DH20" i="4"/>
  <c r="DJ20" i="4" s="1"/>
  <c r="DK20" i="4" s="1"/>
  <c r="BH20" i="4" s="1"/>
  <c r="EJ16" i="4"/>
  <c r="EK28" i="4"/>
  <c r="EK24" i="4"/>
  <c r="EE19" i="4"/>
  <c r="EK18" i="4"/>
  <c r="EK16" i="4"/>
  <c r="EK27" i="4"/>
  <c r="GD16" i="4"/>
  <c r="GD28" i="4"/>
  <c r="GK28" i="4"/>
  <c r="GD24" i="4"/>
  <c r="FJ25" i="4"/>
  <c r="FW25" i="4" s="1"/>
  <c r="EW18" i="4"/>
  <c r="EW27" i="4"/>
  <c r="CV17" i="4"/>
  <c r="BF17" i="4" s="1"/>
  <c r="EN16" i="4"/>
  <c r="EP16" i="4" s="1"/>
  <c r="CK24" i="4"/>
  <c r="CP19" i="4"/>
  <c r="GM24" i="4"/>
  <c r="CP28" i="4"/>
  <c r="EF24" i="4"/>
  <c r="DJ17" i="4"/>
  <c r="DK17" i="4" s="1"/>
  <c r="BH17" i="4" s="1"/>
  <c r="EN25" i="4"/>
  <c r="EQ25" i="4" s="1"/>
  <c r="EZ25" i="4" s="1"/>
  <c r="EF29" i="4"/>
  <c r="ET17" i="4"/>
  <c r="FM25" i="4"/>
  <c r="GB25" i="4" s="1"/>
  <c r="GC25" i="4" s="1"/>
  <c r="EK29" i="4"/>
  <c r="EJ26" i="4"/>
  <c r="FJ27" i="4"/>
  <c r="FU27" i="4" s="1"/>
  <c r="EW28" i="4"/>
  <c r="EF25" i="4"/>
  <c r="CV28" i="4"/>
  <c r="BF28" i="4" s="1"/>
  <c r="EF20" i="4"/>
  <c r="EE25" i="4"/>
  <c r="CV20" i="4"/>
  <c r="BF20" i="4" s="1"/>
  <c r="EE20" i="4"/>
  <c r="EF26" i="4"/>
  <c r="EE26" i="4"/>
  <c r="DH19" i="4"/>
  <c r="DJ19" i="4" s="1"/>
  <c r="DK19" i="4" s="1"/>
  <c r="BH19" i="4" s="1"/>
  <c r="EK25" i="4"/>
  <c r="EE21" i="4"/>
  <c r="EF21" i="4" s="1"/>
  <c r="EK23" i="4"/>
  <c r="DE25" i="4"/>
  <c r="EF22" i="4"/>
  <c r="EE27" i="4"/>
  <c r="EF27" i="4" s="1"/>
  <c r="CV21" i="4"/>
  <c r="BF21" i="4" s="1"/>
  <c r="CP25" i="4"/>
  <c r="CR25" i="4" s="1"/>
  <c r="CV25" i="4" s="1"/>
  <c r="BF25" i="4" s="1"/>
  <c r="CV26" i="4"/>
  <c r="BF26" i="4" s="1"/>
  <c r="CV29" i="4"/>
  <c r="BF29" i="4" s="1"/>
  <c r="EF17" i="4"/>
  <c r="EE22" i="4"/>
  <c r="EF28" i="4"/>
  <c r="FJ18" i="4"/>
  <c r="EK20" i="4"/>
  <c r="EE17" i="4"/>
  <c r="EF23" i="4"/>
  <c r="EF18" i="4"/>
  <c r="EE23" i="4"/>
  <c r="EU17" i="4"/>
  <c r="EX19" i="4"/>
  <c r="ET22" i="4"/>
  <c r="DJ24" i="4"/>
  <c r="DK24" i="4" s="1"/>
  <c r="BH24" i="4" s="1"/>
  <c r="EE18" i="4"/>
  <c r="DE17" i="4"/>
  <c r="EJ18" i="4"/>
  <c r="EJ24" i="4"/>
  <c r="FJ16" i="4"/>
  <c r="GL16" i="4" s="1"/>
  <c r="EK17" i="4"/>
  <c r="EJ20" i="4"/>
  <c r="DJ22" i="4"/>
  <c r="DK22" i="4" s="1"/>
  <c r="BH22" i="4" s="1"/>
  <c r="GK24" i="4"/>
  <c r="DE27" i="4"/>
  <c r="EJ27" i="4"/>
  <c r="GK18" i="4"/>
  <c r="CQ19" i="4"/>
  <c r="EK19" i="4"/>
  <c r="CT25" i="4"/>
  <c r="EW16" i="4"/>
  <c r="HF18" i="4"/>
  <c r="HF19" i="4"/>
  <c r="EJ23" i="4"/>
  <c r="CK25" i="4"/>
  <c r="CK28" i="4"/>
  <c r="DI29" i="4"/>
  <c r="DJ29" i="4" s="1"/>
  <c r="DK29" i="4" s="1"/>
  <c r="BH29" i="4" s="1"/>
  <c r="DJ26" i="4"/>
  <c r="DK26" i="4" s="1"/>
  <c r="BH26" i="4" s="1"/>
  <c r="CP17" i="4"/>
  <c r="CR17" i="4" s="1"/>
  <c r="DJ16" i="4"/>
  <c r="DK16" i="4" s="1"/>
  <c r="BH16" i="4" s="1"/>
  <c r="DJ18" i="4"/>
  <c r="DK18" i="4" s="1"/>
  <c r="BH18" i="4" s="1"/>
  <c r="EW19" i="4"/>
  <c r="CK20" i="4"/>
  <c r="EJ21" i="4"/>
  <c r="FM19" i="4"/>
  <c r="GB19" i="4" s="1"/>
  <c r="GC19" i="4" s="1"/>
  <c r="GD19" i="4"/>
  <c r="EV20" i="4"/>
  <c r="EP17" i="4"/>
  <c r="EQ17" i="4"/>
  <c r="EZ17" i="4" s="1"/>
  <c r="DQ25" i="4"/>
  <c r="DR25" i="4" s="1"/>
  <c r="FB25" i="4"/>
  <c r="FC25" i="4" s="1"/>
  <c r="DZ16" i="4"/>
  <c r="EA16" i="4" s="1"/>
  <c r="EF16" i="4" s="1"/>
  <c r="GR16" i="4"/>
  <c r="FB16" i="4"/>
  <c r="GM19" i="4"/>
  <c r="FQ19" i="4"/>
  <c r="FP19" i="4"/>
  <c r="FO19" i="4"/>
  <c r="DA16" i="4"/>
  <c r="DB16" i="4" s="1"/>
  <c r="BG16" i="4" s="1"/>
  <c r="CT18" i="4"/>
  <c r="CV19" i="4"/>
  <c r="BF19" i="4" s="1"/>
  <c r="HE19" i="4"/>
  <c r="FK20" i="4"/>
  <c r="FS20" i="4" s="1"/>
  <c r="GG20" i="4" s="1"/>
  <c r="GJ20" i="4" s="1"/>
  <c r="EQ22" i="4"/>
  <c r="DJ25" i="4"/>
  <c r="DK25" i="4" s="1"/>
  <c r="BH25" i="4" s="1"/>
  <c r="HE25" i="4"/>
  <c r="EK26" i="4"/>
  <c r="DI27" i="4"/>
  <c r="DJ27" i="4" s="1"/>
  <c r="DK27" i="4" s="1"/>
  <c r="BH27" i="4" s="1"/>
  <c r="FL27" i="4"/>
  <c r="GA27" i="4" s="1"/>
  <c r="HF27" i="4"/>
  <c r="CQ28" i="4"/>
  <c r="DH28" i="4"/>
  <c r="DJ28" i="4" s="1"/>
  <c r="DK28" i="4" s="1"/>
  <c r="BH28" i="4" s="1"/>
  <c r="CK18" i="4"/>
  <c r="CL18" i="4" s="1"/>
  <c r="CQ18" i="4" s="1"/>
  <c r="CK19" i="4"/>
  <c r="CT19" i="4"/>
  <c r="GD21" i="4"/>
  <c r="EW24" i="4"/>
  <c r="EQ27" i="4"/>
  <c r="EJ28" i="4"/>
  <c r="FJ28" i="4"/>
  <c r="GM28" i="4" s="1"/>
  <c r="EN20" i="4"/>
  <c r="EQ20" i="4" s="1"/>
  <c r="EZ20" i="4" s="1"/>
  <c r="HE16" i="4"/>
  <c r="DE18" i="4"/>
  <c r="EN21" i="4"/>
  <c r="EP21" i="4" s="1"/>
  <c r="EY21" i="4" s="1"/>
  <c r="FK21" i="4"/>
  <c r="FR21" i="4" s="1"/>
  <c r="GE21" i="4" s="1"/>
  <c r="EX24" i="4"/>
  <c r="EN26" i="4"/>
  <c r="EQ26" i="4" s="1"/>
  <c r="EZ26" i="4" s="1"/>
  <c r="FM16" i="4"/>
  <c r="HF16" i="4"/>
  <c r="EJ17" i="4"/>
  <c r="DA19" i="4"/>
  <c r="DB19" i="4" s="1"/>
  <c r="BG19" i="4" s="1"/>
  <c r="EP19" i="4"/>
  <c r="DE22" i="4"/>
  <c r="EU22" i="4"/>
  <c r="DE24" i="4"/>
  <c r="EW25" i="4"/>
  <c r="FM28" i="4"/>
  <c r="GB28" i="4" s="1"/>
  <c r="GC28" i="4" s="1"/>
  <c r="EQ19" i="4"/>
  <c r="DA21" i="4"/>
  <c r="DB21" i="4" s="1"/>
  <c r="BG21" i="4" s="1"/>
  <c r="FM21" i="4"/>
  <c r="GB21" i="4" s="1"/>
  <c r="GC21" i="4" s="1"/>
  <c r="DI23" i="4"/>
  <c r="CT28" i="4"/>
  <c r="CU28" i="4" s="1"/>
  <c r="EU18" i="4"/>
  <c r="EV18" i="4" s="1"/>
  <c r="FK18" i="4" s="1"/>
  <c r="HE23" i="4"/>
  <c r="DE26" i="4"/>
  <c r="CK27" i="4"/>
  <c r="CL27" i="4" s="1"/>
  <c r="CV27" i="4" s="1"/>
  <c r="BF27" i="4" s="1"/>
  <c r="ET27" i="4"/>
  <c r="GK27" i="4"/>
  <c r="DA17" i="4"/>
  <c r="DB17" i="4" s="1"/>
  <c r="BG17" i="4" s="1"/>
  <c r="GL21" i="4"/>
  <c r="HE21" i="4"/>
  <c r="EK22" i="4"/>
  <c r="HF23" i="4"/>
  <c r="GD25" i="4"/>
  <c r="ET26" i="4"/>
  <c r="EV26" i="4" s="1"/>
  <c r="EU27" i="4"/>
  <c r="HF21" i="4"/>
  <c r="GD20" i="4"/>
  <c r="EX21" i="4"/>
  <c r="CT24" i="4"/>
  <c r="EN24" i="4"/>
  <c r="EQ24" i="4" s="1"/>
  <c r="FM24" i="4"/>
  <c r="GB24" i="4" s="1"/>
  <c r="GC24" i="4" s="1"/>
  <c r="GN24" i="4" s="1"/>
  <c r="CM27" i="4"/>
  <c r="DZ28" i="4"/>
  <c r="GS28" i="4" s="1"/>
  <c r="GT28" i="4" s="1"/>
  <c r="GU28" i="4" s="1"/>
  <c r="HB28" i="4" s="1"/>
  <c r="GR17" i="4"/>
  <c r="GU17" i="4" s="1"/>
  <c r="HB17" i="4" s="1"/>
  <c r="HD17" i="4" s="1"/>
  <c r="HI17" i="4" s="1"/>
  <c r="EA17" i="4"/>
  <c r="CK23" i="4"/>
  <c r="EW23" i="4"/>
  <c r="EX23" i="4"/>
  <c r="FU23" i="4"/>
  <c r="DH23" i="4"/>
  <c r="EQ23" i="4"/>
  <c r="EZ23" i="4" s="1"/>
  <c r="EU23" i="4"/>
  <c r="ET23" i="4"/>
  <c r="EJ29" i="4"/>
  <c r="CK29" i="4"/>
  <c r="HE29" i="4"/>
  <c r="GK29" i="4"/>
  <c r="EX29" i="4"/>
  <c r="GD29" i="4"/>
  <c r="FM29" i="4"/>
  <c r="GB29" i="4" s="1"/>
  <c r="GC29" i="4" s="1"/>
  <c r="EN29" i="4"/>
  <c r="EP29" i="4" s="1"/>
  <c r="EY29" i="4" s="1"/>
  <c r="CT29" i="4"/>
  <c r="CM29" i="4"/>
  <c r="CP29" i="4"/>
  <c r="CR29" i="4" s="1"/>
  <c r="FP20" i="4"/>
  <c r="FO20" i="4"/>
  <c r="FU20" i="4"/>
  <c r="FW20" i="4"/>
  <c r="FT20" i="4"/>
  <c r="GM20" i="4"/>
  <c r="GL20" i="4"/>
  <c r="FQ20" i="4"/>
  <c r="GT19" i="4"/>
  <c r="GZ19" i="4" s="1"/>
  <c r="FB20" i="4"/>
  <c r="FC20" i="4" s="1"/>
  <c r="DQ20" i="4"/>
  <c r="DR20" i="4" s="1"/>
  <c r="GS20" i="4"/>
  <c r="GT20" i="4" s="1"/>
  <c r="EA20" i="4"/>
  <c r="FB18" i="4"/>
  <c r="FC18" i="4" s="1"/>
  <c r="DQ18" i="4"/>
  <c r="DR18" i="4" s="1"/>
  <c r="DQ19" i="4"/>
  <c r="DR19" i="4" s="1"/>
  <c r="FB19" i="4"/>
  <c r="FC19" i="4" s="1"/>
  <c r="GR18" i="4"/>
  <c r="DZ18" i="4"/>
  <c r="GS18" i="4" s="1"/>
  <c r="GD17" i="4"/>
  <c r="FM17" i="4"/>
  <c r="GB17" i="4" s="1"/>
  <c r="GC17" i="4" s="1"/>
  <c r="CT17" i="4"/>
  <c r="EA19" i="4"/>
  <c r="GR19" i="4"/>
  <c r="DL20" i="4"/>
  <c r="BI20" i="4" s="1"/>
  <c r="DE16" i="4"/>
  <c r="FU21" i="4"/>
  <c r="FQ21" i="4"/>
  <c r="GM21" i="4"/>
  <c r="DA18" i="4"/>
  <c r="DB18" i="4" s="1"/>
  <c r="BG18" i="4" s="1"/>
  <c r="GV19" i="4"/>
  <c r="CP20" i="4"/>
  <c r="CR20" i="4" s="1"/>
  <c r="EW20" i="4"/>
  <c r="FM20" i="4"/>
  <c r="GB20" i="4" s="1"/>
  <c r="GC20" i="4" s="1"/>
  <c r="CK21" i="4"/>
  <c r="FO21" i="4"/>
  <c r="CK22" i="4"/>
  <c r="CL22" i="4" s="1"/>
  <c r="CQ22" i="4" s="1"/>
  <c r="FM22" i="4"/>
  <c r="GB22" i="4" s="1"/>
  <c r="GC22" i="4" s="1"/>
  <c r="GD22" i="4"/>
  <c r="CQ23" i="4"/>
  <c r="CP23" i="4"/>
  <c r="FB24" i="4"/>
  <c r="FC24" i="4" s="1"/>
  <c r="DQ24" i="4"/>
  <c r="DR24" i="4" s="1"/>
  <c r="DE29" i="4"/>
  <c r="GK22" i="4"/>
  <c r="HE22" i="4"/>
  <c r="ET16" i="4"/>
  <c r="EV16" i="4" s="1"/>
  <c r="FK16" i="4" s="1"/>
  <c r="CM17" i="4"/>
  <c r="EW17" i="4"/>
  <c r="FJ17" i="4"/>
  <c r="GK17" i="4"/>
  <c r="FM18" i="4"/>
  <c r="GB18" i="4" s="1"/>
  <c r="GC18" i="4" s="1"/>
  <c r="FT19" i="4"/>
  <c r="EX20" i="4"/>
  <c r="EK21" i="4"/>
  <c r="FP21" i="4"/>
  <c r="CM23" i="4"/>
  <c r="GD23" i="4"/>
  <c r="FM23" i="4"/>
  <c r="GB23" i="4" s="1"/>
  <c r="GC23" i="4" s="1"/>
  <c r="GD27" i="4"/>
  <c r="FM27" i="4"/>
  <c r="DA28" i="4"/>
  <c r="DB28" i="4" s="1"/>
  <c r="BG28" i="4" s="1"/>
  <c r="EV28" i="4"/>
  <c r="DA20" i="4"/>
  <c r="DB20" i="4" s="1"/>
  <c r="BG20" i="4" s="1"/>
  <c r="DA22" i="4"/>
  <c r="DB22" i="4" s="1"/>
  <c r="BG22" i="4" s="1"/>
  <c r="EJ22" i="4"/>
  <c r="CT27" i="4"/>
  <c r="DA27" i="4"/>
  <c r="DB27" i="4" s="1"/>
  <c r="BG27" i="4" s="1"/>
  <c r="FB28" i="4"/>
  <c r="FC28" i="4" s="1"/>
  <c r="DQ28" i="4"/>
  <c r="DR28" i="4" s="1"/>
  <c r="EX26" i="4"/>
  <c r="FJ26" i="4"/>
  <c r="EW26" i="4"/>
  <c r="CK16" i="4"/>
  <c r="CL16" i="4" s="1"/>
  <c r="CV16" i="4" s="1"/>
  <c r="BF16" i="4" s="1"/>
  <c r="GZ17" i="4"/>
  <c r="ET19" i="4"/>
  <c r="FU19" i="4"/>
  <c r="FT21" i="4"/>
  <c r="FP23" i="4"/>
  <c r="FO23" i="4"/>
  <c r="GM23" i="4"/>
  <c r="GL23" i="4"/>
  <c r="FW23" i="4"/>
  <c r="FT23" i="4"/>
  <c r="CL24" i="4"/>
  <c r="EV24" i="4"/>
  <c r="FB22" i="4"/>
  <c r="FC22" i="4" s="1"/>
  <c r="DQ22" i="4"/>
  <c r="DR22" i="4" s="1"/>
  <c r="CT16" i="4"/>
  <c r="CK17" i="4"/>
  <c r="EY17" i="4"/>
  <c r="EP18" i="4"/>
  <c r="EU19" i="4"/>
  <c r="GL19" i="4"/>
  <c r="CP21" i="4"/>
  <c r="CR21" i="4" s="1"/>
  <c r="EV21" i="4"/>
  <c r="FW21" i="4"/>
  <c r="GK26" i="4"/>
  <c r="HE26" i="4"/>
  <c r="EN28" i="4"/>
  <c r="EQ28" i="4" s="1"/>
  <c r="EZ28" i="4" s="1"/>
  <c r="EQ18" i="4"/>
  <c r="FW19" i="4"/>
  <c r="EX22" i="4"/>
  <c r="FJ22" i="4"/>
  <c r="EW22" i="4"/>
  <c r="HF22" i="4"/>
  <c r="FT24" i="4"/>
  <c r="FQ24" i="4"/>
  <c r="FP24" i="4"/>
  <c r="FO24" i="4"/>
  <c r="GL24" i="4"/>
  <c r="FW24" i="4"/>
  <c r="FU24" i="4"/>
  <c r="GR27" i="4"/>
  <c r="DZ27" i="4"/>
  <c r="GS27" i="4" s="1"/>
  <c r="DL16" i="4"/>
  <c r="BI16" i="4" s="1"/>
  <c r="EJ19" i="4"/>
  <c r="DE21" i="4"/>
  <c r="CP26" i="4"/>
  <c r="CR26" i="4" s="1"/>
  <c r="FM26" i="4"/>
  <c r="GD26" i="4"/>
  <c r="DQ17" i="4"/>
  <c r="DR17" i="4" s="1"/>
  <c r="FA17" i="4" s="1"/>
  <c r="BM17" i="4" s="1"/>
  <c r="BN17" i="4" s="1"/>
  <c r="HE17" i="4"/>
  <c r="HF20" i="4"/>
  <c r="HE20" i="4"/>
  <c r="GR20" i="4"/>
  <c r="DL22" i="4"/>
  <c r="BI22" i="4" s="1"/>
  <c r="GL29" i="4"/>
  <c r="FW29" i="4"/>
  <c r="FU29" i="4"/>
  <c r="FT29" i="4"/>
  <c r="FS29" i="4"/>
  <c r="GG29" i="4" s="1"/>
  <c r="GJ29" i="4" s="1"/>
  <c r="FR29" i="4"/>
  <c r="GE29" i="4" s="1"/>
  <c r="FQ29" i="4"/>
  <c r="GM29" i="4"/>
  <c r="CT21" i="4"/>
  <c r="DI21" i="4"/>
  <c r="DJ21" i="4" s="1"/>
  <c r="DK21" i="4" s="1"/>
  <c r="BH21" i="4" s="1"/>
  <c r="GR21" i="4"/>
  <c r="DZ21" i="4"/>
  <c r="DZ24" i="4"/>
  <c r="FO29" i="4"/>
  <c r="EP22" i="4"/>
  <c r="GV24" i="4"/>
  <c r="DA25" i="4"/>
  <c r="DB25" i="4" s="1"/>
  <c r="BG25" i="4" s="1"/>
  <c r="DZ25" i="4"/>
  <c r="DQ26" i="4"/>
  <c r="DR26" i="4" s="1"/>
  <c r="GV28" i="4"/>
  <c r="DA29" i="4"/>
  <c r="DB29" i="4" s="1"/>
  <c r="BG29" i="4" s="1"/>
  <c r="DZ29" i="4"/>
  <c r="CT22" i="4"/>
  <c r="GR22" i="4"/>
  <c r="FK28" i="4"/>
  <c r="DL23" i="4"/>
  <c r="BI23" i="4" s="1"/>
  <c r="FK23" i="4"/>
  <c r="FS23" i="4" s="1"/>
  <c r="GG23" i="4" s="1"/>
  <c r="GJ23" i="4" s="1"/>
  <c r="CK26" i="4"/>
  <c r="DL27" i="4"/>
  <c r="BI27" i="4" s="1"/>
  <c r="HE24" i="4"/>
  <c r="HE28" i="4"/>
  <c r="ET25" i="4"/>
  <c r="EV25" i="4" s="1"/>
  <c r="CM26" i="4"/>
  <c r="ET29" i="4"/>
  <c r="EV29" i="4" s="1"/>
  <c r="DL26" i="4"/>
  <c r="BI26" i="4" s="1"/>
  <c r="DZ22" i="4"/>
  <c r="GS22" i="4" s="1"/>
  <c r="EP23" i="4"/>
  <c r="EY23" i="4" s="1"/>
  <c r="EJ25" i="4"/>
  <c r="EP27" i="4"/>
  <c r="EW21" i="4"/>
  <c r="EW29" i="4"/>
  <c r="EV15" i="4"/>
  <c r="EN15" i="4"/>
  <c r="EQ15" i="4" s="1"/>
  <c r="DW15" i="4"/>
  <c r="CZ15" i="4"/>
  <c r="DD15" i="4"/>
  <c r="DE15" i="4" s="1"/>
  <c r="DC15" i="4"/>
  <c r="CI15" i="4"/>
  <c r="X15" i="4"/>
  <c r="CF15" i="4"/>
  <c r="CG15" i="4"/>
  <c r="CH15" i="4"/>
  <c r="CM15" i="4" s="1"/>
  <c r="CJ15" i="4"/>
  <c r="CN15" i="4"/>
  <c r="CO15" i="4" s="1"/>
  <c r="CV18" i="4" l="1"/>
  <c r="BF18" i="4" s="1"/>
  <c r="CP18" i="4"/>
  <c r="CR18" i="4" s="1"/>
  <c r="GN18" i="4"/>
  <c r="EY18" i="4"/>
  <c r="EP25" i="4"/>
  <c r="EY25" i="4" s="1"/>
  <c r="EP24" i="4"/>
  <c r="FR18" i="4"/>
  <c r="GE18" i="4" s="1"/>
  <c r="GM27" i="4"/>
  <c r="GM25" i="4"/>
  <c r="FP18" i="4"/>
  <c r="EE16" i="4"/>
  <c r="CP16" i="4"/>
  <c r="CQ16" i="4"/>
  <c r="GL18" i="4"/>
  <c r="FR25" i="4"/>
  <c r="GE25" i="4" s="1"/>
  <c r="GH25" i="4" s="1"/>
  <c r="GM18" i="4"/>
  <c r="FP27" i="4"/>
  <c r="FS25" i="4"/>
  <c r="GG25" i="4" s="1"/>
  <c r="GJ25" i="4" s="1"/>
  <c r="FU25" i="4"/>
  <c r="FO27" i="4"/>
  <c r="FO25" i="4"/>
  <c r="GB16" i="4"/>
  <c r="GC16" i="4" s="1"/>
  <c r="GN16" i="4" s="1"/>
  <c r="EP26" i="4"/>
  <c r="EY26" i="4" s="1"/>
  <c r="FQ25" i="4"/>
  <c r="FS16" i="4"/>
  <c r="GG16" i="4" s="1"/>
  <c r="GJ16" i="4" s="1"/>
  <c r="FS18" i="4"/>
  <c r="GG18" i="4" s="1"/>
  <c r="GJ18" i="4" s="1"/>
  <c r="FP25" i="4"/>
  <c r="GL25" i="4"/>
  <c r="CP22" i="4"/>
  <c r="CR22" i="4" s="1"/>
  <c r="CV22" i="4" s="1"/>
  <c r="BF22" i="4" s="1"/>
  <c r="GN28" i="4"/>
  <c r="FQ27" i="4"/>
  <c r="FT27" i="4"/>
  <c r="FV27" i="4" s="1"/>
  <c r="FW27" i="4"/>
  <c r="GL27" i="4"/>
  <c r="FS21" i="4"/>
  <c r="GG21" i="4" s="1"/>
  <c r="GJ21" i="4" s="1"/>
  <c r="GN21" i="4"/>
  <c r="CR19" i="4"/>
  <c r="EZ18" i="4"/>
  <c r="FA18" i="4" s="1"/>
  <c r="BM18" i="4" s="1"/>
  <c r="BN18" i="4" s="1"/>
  <c r="FO18" i="4"/>
  <c r="EV17" i="4"/>
  <c r="FU16" i="4"/>
  <c r="GM16" i="4"/>
  <c r="FR16" i="4"/>
  <c r="GE16" i="4" s="1"/>
  <c r="FW16" i="4"/>
  <c r="EY16" i="4"/>
  <c r="FO16" i="4"/>
  <c r="FS28" i="4"/>
  <c r="GG28" i="4" s="1"/>
  <c r="GJ28" i="4" s="1"/>
  <c r="FT16" i="4"/>
  <c r="FT28" i="4"/>
  <c r="FT18" i="4"/>
  <c r="FT25" i="4"/>
  <c r="FQ16" i="4"/>
  <c r="HC17" i="4"/>
  <c r="HH17" i="4" s="1"/>
  <c r="HJ17" i="4" s="1"/>
  <c r="CR28" i="4"/>
  <c r="EQ16" i="4"/>
  <c r="EZ16" i="4" s="1"/>
  <c r="DJ23" i="4"/>
  <c r="DK23" i="4" s="1"/>
  <c r="BH23" i="4" s="1"/>
  <c r="FV24" i="4"/>
  <c r="EQ21" i="4"/>
  <c r="EZ21" i="4" s="1"/>
  <c r="EV22" i="4"/>
  <c r="FQ18" i="4"/>
  <c r="FU18" i="4"/>
  <c r="FW18" i="4"/>
  <c r="GH21" i="4"/>
  <c r="EP28" i="4"/>
  <c r="EY28" i="4" s="1"/>
  <c r="FR20" i="4"/>
  <c r="GE20" i="4" s="1"/>
  <c r="GH20" i="4" s="1"/>
  <c r="CP27" i="4"/>
  <c r="CQ27" i="4"/>
  <c r="FP16" i="4"/>
  <c r="GN19" i="4"/>
  <c r="GU20" i="4"/>
  <c r="HB20" i="4" s="1"/>
  <c r="HD20" i="4" s="1"/>
  <c r="HI20" i="4" s="1"/>
  <c r="HK20" i="4" s="1"/>
  <c r="EP20" i="4"/>
  <c r="EY20" i="4" s="1"/>
  <c r="EA27" i="4"/>
  <c r="FA25" i="4"/>
  <c r="BM25" i="4" s="1"/>
  <c r="BN25" i="4" s="1"/>
  <c r="FV21" i="4"/>
  <c r="GN23" i="4"/>
  <c r="FQ28" i="4"/>
  <c r="EV27" i="4"/>
  <c r="EA28" i="4"/>
  <c r="FU28" i="4"/>
  <c r="GB27" i="4"/>
  <c r="GC27" i="4" s="1"/>
  <c r="GN27" i="4" s="1"/>
  <c r="FW28" i="4"/>
  <c r="GN17" i="4"/>
  <c r="GN22" i="4"/>
  <c r="GL28" i="4"/>
  <c r="GS16" i="4"/>
  <c r="GT16" i="4" s="1"/>
  <c r="GU16" i="4" s="1"/>
  <c r="HB16" i="4" s="1"/>
  <c r="HC16" i="4" s="1"/>
  <c r="HH16" i="4" s="1"/>
  <c r="HJ16" i="4" s="1"/>
  <c r="FA26" i="4"/>
  <c r="BM26" i="4" s="1"/>
  <c r="BN26" i="4" s="1"/>
  <c r="GN25" i="4"/>
  <c r="FO28" i="4"/>
  <c r="GN20" i="4"/>
  <c r="FP28" i="4"/>
  <c r="FV23" i="4"/>
  <c r="EV23" i="4"/>
  <c r="GN29" i="4"/>
  <c r="GH29" i="4"/>
  <c r="FV29" i="4"/>
  <c r="EQ29" i="4"/>
  <c r="EZ29" i="4" s="1"/>
  <c r="HD28" i="4"/>
  <c r="HI28" i="4" s="1"/>
  <c r="HK28" i="4" s="1"/>
  <c r="HC28" i="4"/>
  <c r="HH28" i="4" s="1"/>
  <c r="HJ28" i="4" s="1"/>
  <c r="FP17" i="4"/>
  <c r="FS17" i="4"/>
  <c r="GG17" i="4" s="1"/>
  <c r="GJ17" i="4" s="1"/>
  <c r="FO17" i="4"/>
  <c r="GM17" i="4"/>
  <c r="GL17" i="4"/>
  <c r="FW17" i="4"/>
  <c r="FT17" i="4"/>
  <c r="FU17" i="4"/>
  <c r="FR17" i="4"/>
  <c r="FQ17" i="4"/>
  <c r="GS21" i="4"/>
  <c r="EA21" i="4"/>
  <c r="GZ28" i="4"/>
  <c r="FR28" i="4"/>
  <c r="FA28" i="4"/>
  <c r="BM28" i="4" s="1"/>
  <c r="BN28" i="4" s="1"/>
  <c r="GZ20" i="4"/>
  <c r="HK17" i="4"/>
  <c r="FK24" i="4"/>
  <c r="EZ24" i="4"/>
  <c r="FA24" i="4" s="1"/>
  <c r="BM24" i="4" s="1"/>
  <c r="BN24" i="4" s="1"/>
  <c r="EY24" i="4"/>
  <c r="FA20" i="4"/>
  <c r="BM20" i="4" s="1"/>
  <c r="BN20" i="4" s="1"/>
  <c r="GS24" i="4"/>
  <c r="EA24" i="4"/>
  <c r="CV24" i="4"/>
  <c r="BF24" i="4" s="1"/>
  <c r="CQ24" i="4"/>
  <c r="CP24" i="4"/>
  <c r="FR23" i="4"/>
  <c r="EV19" i="4"/>
  <c r="EY19" i="4" s="1"/>
  <c r="EA18" i="4"/>
  <c r="FV20" i="4"/>
  <c r="GS25" i="4"/>
  <c r="EA25" i="4"/>
  <c r="EA22" i="4"/>
  <c r="GS29" i="4"/>
  <c r="EA29" i="4"/>
  <c r="GF29" i="4"/>
  <c r="GI29" i="4" s="1"/>
  <c r="CR23" i="4"/>
  <c r="FV19" i="4"/>
  <c r="GT27" i="4"/>
  <c r="GU27" i="4" s="1"/>
  <c r="HB27" i="4" s="1"/>
  <c r="GT22" i="4"/>
  <c r="GU22" i="4" s="1"/>
  <c r="HB22" i="4" s="1"/>
  <c r="GM22" i="4"/>
  <c r="GL22" i="4"/>
  <c r="FW22" i="4"/>
  <c r="FU22" i="4"/>
  <c r="FT22" i="4"/>
  <c r="FQ22" i="4"/>
  <c r="FO22" i="4"/>
  <c r="FP22" i="4"/>
  <c r="GM26" i="4"/>
  <c r="GL26" i="4"/>
  <c r="FW26" i="4"/>
  <c r="FU26" i="4"/>
  <c r="FT26" i="4"/>
  <c r="FQ26" i="4"/>
  <c r="FO26" i="4"/>
  <c r="FS26" i="4"/>
  <c r="FR26" i="4"/>
  <c r="FP26" i="4"/>
  <c r="GU19" i="4"/>
  <c r="HB19" i="4" s="1"/>
  <c r="GT18" i="4"/>
  <c r="GZ18" i="4" s="1"/>
  <c r="EP15" i="4"/>
  <c r="DL15" i="4"/>
  <c r="DI15" i="4"/>
  <c r="CK15" i="4"/>
  <c r="CL15" i="4" s="1"/>
  <c r="CV15" i="4" s="1"/>
  <c r="BF15" i="4" s="1"/>
  <c r="FK22" i="4" l="1"/>
  <c r="EZ22" i="4"/>
  <c r="FA22" i="4" s="1"/>
  <c r="BM22" i="4" s="1"/>
  <c r="BN22" i="4" s="1"/>
  <c r="EY22" i="4"/>
  <c r="CR16" i="4"/>
  <c r="GF25" i="4"/>
  <c r="GI25" i="4" s="1"/>
  <c r="GO25" i="4" s="1"/>
  <c r="GP25" i="4" s="1"/>
  <c r="GQ25" i="4" s="1"/>
  <c r="FV25" i="4"/>
  <c r="GF18" i="4"/>
  <c r="GI18" i="4" s="1"/>
  <c r="GH16" i="4"/>
  <c r="FV18" i="4"/>
  <c r="HL17" i="4"/>
  <c r="HM17" i="4" s="1"/>
  <c r="GF16" i="4"/>
  <c r="GI16" i="4" s="1"/>
  <c r="FK27" i="4"/>
  <c r="EY27" i="4"/>
  <c r="EZ27" i="4"/>
  <c r="GF21" i="4"/>
  <c r="GI21" i="4" s="1"/>
  <c r="GO21" i="4" s="1"/>
  <c r="GP21" i="4" s="1"/>
  <c r="GQ21" i="4" s="1"/>
  <c r="EZ19" i="4"/>
  <c r="FA19" i="4" s="1"/>
  <c r="BM19" i="4" s="1"/>
  <c r="BN19" i="4" s="1"/>
  <c r="FK19" i="4"/>
  <c r="GH18" i="4"/>
  <c r="FV16" i="4"/>
  <c r="FV28" i="4"/>
  <c r="CR24" i="4"/>
  <c r="CR27" i="4"/>
  <c r="GF20" i="4"/>
  <c r="GI20" i="4" s="1"/>
  <c r="GO20" i="4" s="1"/>
  <c r="GP20" i="4" s="1"/>
  <c r="GQ20" i="4" s="1"/>
  <c r="FR24" i="4"/>
  <c r="FS24" i="4"/>
  <c r="GG24" i="4" s="1"/>
  <c r="GJ24" i="4" s="1"/>
  <c r="HL28" i="4"/>
  <c r="HM28" i="4" s="1"/>
  <c r="GZ22" i="4"/>
  <c r="GZ16" i="4"/>
  <c r="HC20" i="4"/>
  <c r="HH20" i="4" s="1"/>
  <c r="HJ20" i="4" s="1"/>
  <c r="HL20" i="4" s="1"/>
  <c r="HM20" i="4" s="1"/>
  <c r="HD16" i="4"/>
  <c r="HI16" i="4" s="1"/>
  <c r="HK16" i="4" s="1"/>
  <c r="HL16" i="4" s="1"/>
  <c r="HM16" i="4" s="1"/>
  <c r="GU18" i="4"/>
  <c r="HB18" i="4" s="1"/>
  <c r="HD18" i="4" s="1"/>
  <c r="HI18" i="4" s="1"/>
  <c r="HK18" i="4" s="1"/>
  <c r="GO29" i="4"/>
  <c r="GP29" i="4" s="1"/>
  <c r="GQ29" i="4" s="1"/>
  <c r="HD27" i="4"/>
  <c r="HI27" i="4" s="1"/>
  <c r="HK27" i="4" s="1"/>
  <c r="HC27" i="4"/>
  <c r="HH27" i="4" s="1"/>
  <c r="HJ27" i="4" s="1"/>
  <c r="HC22" i="4"/>
  <c r="HH22" i="4" s="1"/>
  <c r="HJ22" i="4" s="1"/>
  <c r="HD22" i="4"/>
  <c r="HI22" i="4" s="1"/>
  <c r="HK22" i="4" s="1"/>
  <c r="GF28" i="4"/>
  <c r="GI28" i="4" s="1"/>
  <c r="GE28" i="4"/>
  <c r="GH28" i="4" s="1"/>
  <c r="GT24" i="4"/>
  <c r="GU24" i="4" s="1"/>
  <c r="HB24" i="4" s="1"/>
  <c r="GT29" i="4"/>
  <c r="GU29" i="4" s="1"/>
  <c r="HB29" i="4" s="1"/>
  <c r="HC19" i="4"/>
  <c r="HH19" i="4" s="1"/>
  <c r="HJ19" i="4" s="1"/>
  <c r="HD19" i="4"/>
  <c r="HI19" i="4" s="1"/>
  <c r="HK19" i="4" s="1"/>
  <c r="GZ27" i="4"/>
  <c r="FV17" i="4"/>
  <c r="GT21" i="4"/>
  <c r="GU21" i="4" s="1"/>
  <c r="HB21" i="4" s="1"/>
  <c r="GF23" i="4"/>
  <c r="GI23" i="4" s="1"/>
  <c r="GE23" i="4"/>
  <c r="GH23" i="4" s="1"/>
  <c r="GT25" i="4"/>
  <c r="GU25" i="4" s="1"/>
  <c r="HB25" i="4" s="1"/>
  <c r="FV26" i="4"/>
  <c r="FV22" i="4"/>
  <c r="GE17" i="4"/>
  <c r="GH17" i="4" s="1"/>
  <c r="GF17" i="4"/>
  <c r="GI17" i="4" s="1"/>
  <c r="CQ15" i="4"/>
  <c r="CP15" i="4"/>
  <c r="CR15" i="4" s="1"/>
  <c r="FS22" i="4" l="1"/>
  <c r="GG22" i="4" s="1"/>
  <c r="GJ22" i="4" s="1"/>
  <c r="FR22" i="4"/>
  <c r="GO16" i="4"/>
  <c r="GP16" i="4" s="1"/>
  <c r="GQ16" i="4" s="1"/>
  <c r="HN16" i="4" s="1"/>
  <c r="BK16" i="4" s="1"/>
  <c r="FR19" i="4"/>
  <c r="FS19" i="4"/>
  <c r="GG19" i="4" s="1"/>
  <c r="GJ19" i="4" s="1"/>
  <c r="FS27" i="4"/>
  <c r="GG27" i="4" s="1"/>
  <c r="GJ27" i="4" s="1"/>
  <c r="FR27" i="4"/>
  <c r="GE27" i="4" s="1"/>
  <c r="GH27" i="4" s="1"/>
  <c r="GO18" i="4"/>
  <c r="GP18" i="4" s="1"/>
  <c r="GQ18" i="4" s="1"/>
  <c r="GE24" i="4"/>
  <c r="GH24" i="4" s="1"/>
  <c r="GF24" i="4"/>
  <c r="GI24" i="4" s="1"/>
  <c r="HN20" i="4"/>
  <c r="BK20" i="4" s="1"/>
  <c r="GZ21" i="4"/>
  <c r="HC18" i="4"/>
  <c r="HH18" i="4" s="1"/>
  <c r="HJ18" i="4" s="1"/>
  <c r="HL18" i="4" s="1"/>
  <c r="HM18" i="4" s="1"/>
  <c r="GZ24" i="4"/>
  <c r="HL22" i="4"/>
  <c r="HM22" i="4" s="1"/>
  <c r="HL19" i="4"/>
  <c r="HM19" i="4" s="1"/>
  <c r="GZ29" i="4"/>
  <c r="GO23" i="4"/>
  <c r="GP23" i="4" s="1"/>
  <c r="GQ23" i="4" s="1"/>
  <c r="HD24" i="4"/>
  <c r="HI24" i="4" s="1"/>
  <c r="HK24" i="4" s="1"/>
  <c r="HC24" i="4"/>
  <c r="HH24" i="4" s="1"/>
  <c r="HJ24" i="4" s="1"/>
  <c r="HD21" i="4"/>
  <c r="HI21" i="4" s="1"/>
  <c r="HK21" i="4" s="1"/>
  <c r="HC21" i="4"/>
  <c r="HH21" i="4" s="1"/>
  <c r="HJ21" i="4" s="1"/>
  <c r="GO28" i="4"/>
  <c r="GP28" i="4" s="1"/>
  <c r="GQ28" i="4" s="1"/>
  <c r="HN28" i="4" s="1"/>
  <c r="BK28" i="4" s="1"/>
  <c r="HD25" i="4"/>
  <c r="HI25" i="4" s="1"/>
  <c r="HK25" i="4" s="1"/>
  <c r="HC25" i="4"/>
  <c r="HH25" i="4" s="1"/>
  <c r="HJ25" i="4" s="1"/>
  <c r="GO17" i="4"/>
  <c r="GP17" i="4" s="1"/>
  <c r="GQ17" i="4" s="1"/>
  <c r="HN17" i="4" s="1"/>
  <c r="BK17" i="4" s="1"/>
  <c r="GZ25" i="4"/>
  <c r="HD29" i="4"/>
  <c r="HI29" i="4" s="1"/>
  <c r="HK29" i="4" s="1"/>
  <c r="HC29" i="4"/>
  <c r="HH29" i="4" s="1"/>
  <c r="HJ29" i="4" s="1"/>
  <c r="HL27" i="4"/>
  <c r="HM27" i="4" s="1"/>
  <c r="GE22" i="4" l="1"/>
  <c r="GH22" i="4" s="1"/>
  <c r="GF22" i="4"/>
  <c r="GI22" i="4" s="1"/>
  <c r="GF27" i="4"/>
  <c r="GI27" i="4" s="1"/>
  <c r="GO27" i="4" s="1"/>
  <c r="GP27" i="4" s="1"/>
  <c r="GQ27" i="4" s="1"/>
  <c r="HN27" i="4" s="1"/>
  <c r="BK27" i="4" s="1"/>
  <c r="GE19" i="4"/>
  <c r="GH19" i="4" s="1"/>
  <c r="GF19" i="4"/>
  <c r="GI19" i="4" s="1"/>
  <c r="HN18" i="4"/>
  <c r="BK18" i="4" s="1"/>
  <c r="GO24" i="4"/>
  <c r="GP24" i="4" s="1"/>
  <c r="GQ24" i="4" s="1"/>
  <c r="HL24" i="4"/>
  <c r="HM24" i="4" s="1"/>
  <c r="HL21" i="4"/>
  <c r="HM21" i="4" s="1"/>
  <c r="HN21" i="4" s="1"/>
  <c r="BK21" i="4" s="1"/>
  <c r="HL29" i="4"/>
  <c r="HM29" i="4" s="1"/>
  <c r="HN29" i="4" s="1"/>
  <c r="BK29" i="4" s="1"/>
  <c r="HL25" i="4"/>
  <c r="HM25" i="4" s="1"/>
  <c r="HN25" i="4" s="1"/>
  <c r="BK25" i="4" s="1"/>
  <c r="CW15" i="4"/>
  <c r="BZ15" i="4"/>
  <c r="CB15" i="4"/>
  <c r="CD29" i="4"/>
  <c r="CC29" i="4"/>
  <c r="CB29" i="4"/>
  <c r="CA29" i="4"/>
  <c r="BZ29" i="4"/>
  <c r="BY29" i="4"/>
  <c r="BX29" i="4"/>
  <c r="BV29" i="4"/>
  <c r="BU29" i="4"/>
  <c r="BT29" i="4"/>
  <c r="BS29" i="4"/>
  <c r="BR29" i="4"/>
  <c r="BQ29" i="4"/>
  <c r="DT29" i="4"/>
  <c r="CD28" i="4"/>
  <c r="CC28" i="4"/>
  <c r="CB28" i="4"/>
  <c r="CA28" i="4"/>
  <c r="BZ28" i="4"/>
  <c r="BY28" i="4"/>
  <c r="BX28" i="4"/>
  <c r="BV28" i="4"/>
  <c r="BU28" i="4"/>
  <c r="BT28" i="4"/>
  <c r="BS28" i="4"/>
  <c r="BR28" i="4"/>
  <c r="BQ28" i="4"/>
  <c r="DT28" i="4"/>
  <c r="DU28" i="4" s="1"/>
  <c r="CD27" i="4"/>
  <c r="CC27" i="4"/>
  <c r="CB27" i="4"/>
  <c r="CA27" i="4"/>
  <c r="BZ27" i="4"/>
  <c r="BY27" i="4"/>
  <c r="BX27" i="4"/>
  <c r="BV27" i="4"/>
  <c r="BU27" i="4"/>
  <c r="BT27" i="4"/>
  <c r="BS27" i="4"/>
  <c r="BR27" i="4"/>
  <c r="BQ27" i="4"/>
  <c r="DT27" i="4"/>
  <c r="CD26" i="4"/>
  <c r="CC26" i="4"/>
  <c r="CB26" i="4"/>
  <c r="CA26" i="4"/>
  <c r="BZ26" i="4"/>
  <c r="BY26" i="4"/>
  <c r="BX26" i="4"/>
  <c r="BV26" i="4"/>
  <c r="BU26" i="4"/>
  <c r="BT26" i="4"/>
  <c r="BS26" i="4"/>
  <c r="BR26" i="4"/>
  <c r="BQ26" i="4"/>
  <c r="DT26" i="4"/>
  <c r="DU26" i="4" s="1"/>
  <c r="CD25" i="4"/>
  <c r="CC25" i="4"/>
  <c r="CB25" i="4"/>
  <c r="CA25" i="4"/>
  <c r="BZ25" i="4"/>
  <c r="BY25" i="4"/>
  <c r="BX25" i="4"/>
  <c r="BV25" i="4"/>
  <c r="BU25" i="4"/>
  <c r="BT25" i="4"/>
  <c r="BS25" i="4"/>
  <c r="BR25" i="4"/>
  <c r="BQ25" i="4"/>
  <c r="DT25" i="4"/>
  <c r="DU25" i="4" s="1"/>
  <c r="CD24" i="4"/>
  <c r="CC24" i="4"/>
  <c r="CB24" i="4"/>
  <c r="CA24" i="4"/>
  <c r="BZ24" i="4"/>
  <c r="BY24" i="4"/>
  <c r="BX24" i="4"/>
  <c r="BV24" i="4"/>
  <c r="BU24" i="4"/>
  <c r="BT24" i="4"/>
  <c r="BS24" i="4"/>
  <c r="BR24" i="4"/>
  <c r="BQ24" i="4"/>
  <c r="DT24" i="4"/>
  <c r="DU24" i="4" s="1"/>
  <c r="CD23" i="4"/>
  <c r="CC23" i="4"/>
  <c r="CB23" i="4"/>
  <c r="CA23" i="4"/>
  <c r="BZ23" i="4"/>
  <c r="BY23" i="4"/>
  <c r="BX23" i="4"/>
  <c r="BV23" i="4"/>
  <c r="BU23" i="4"/>
  <c r="BT23" i="4"/>
  <c r="BS23" i="4"/>
  <c r="BR23" i="4"/>
  <c r="BQ23" i="4"/>
  <c r="DT23" i="4"/>
  <c r="CD22" i="4"/>
  <c r="CC22" i="4"/>
  <c r="CB22" i="4"/>
  <c r="CA22" i="4"/>
  <c r="BZ22" i="4"/>
  <c r="BY22" i="4"/>
  <c r="BX22" i="4"/>
  <c r="BV22" i="4"/>
  <c r="BU22" i="4"/>
  <c r="BT22" i="4"/>
  <c r="BS22" i="4"/>
  <c r="BR22" i="4"/>
  <c r="BQ22" i="4"/>
  <c r="DT22" i="4"/>
  <c r="DU22" i="4" s="1"/>
  <c r="CD21" i="4"/>
  <c r="CC21" i="4"/>
  <c r="CB21" i="4"/>
  <c r="CA21" i="4"/>
  <c r="BZ21" i="4"/>
  <c r="BY21" i="4"/>
  <c r="BX21" i="4"/>
  <c r="BV21" i="4"/>
  <c r="BU21" i="4"/>
  <c r="BT21" i="4"/>
  <c r="BS21" i="4"/>
  <c r="BR21" i="4"/>
  <c r="BQ21" i="4"/>
  <c r="DT21" i="4"/>
  <c r="CD20" i="4"/>
  <c r="CC20" i="4"/>
  <c r="CB20" i="4"/>
  <c r="CA20" i="4"/>
  <c r="BZ20" i="4"/>
  <c r="BY20" i="4"/>
  <c r="BX20" i="4"/>
  <c r="BV20" i="4"/>
  <c r="BU20" i="4"/>
  <c r="BT20" i="4"/>
  <c r="BS20" i="4"/>
  <c r="BR20" i="4"/>
  <c r="BQ20" i="4"/>
  <c r="DT20" i="4"/>
  <c r="DU20" i="4" s="1"/>
  <c r="CD19" i="4"/>
  <c r="CC19" i="4"/>
  <c r="CB19" i="4"/>
  <c r="CA19" i="4"/>
  <c r="BZ19" i="4"/>
  <c r="BY19" i="4"/>
  <c r="BX19" i="4"/>
  <c r="BV19" i="4"/>
  <c r="BU19" i="4"/>
  <c r="BT19" i="4"/>
  <c r="BS19" i="4"/>
  <c r="BR19" i="4"/>
  <c r="BQ19" i="4"/>
  <c r="DT19" i="4"/>
  <c r="DU19" i="4" s="1"/>
  <c r="CD18" i="4"/>
  <c r="CC18" i="4"/>
  <c r="CB18" i="4"/>
  <c r="CA18" i="4"/>
  <c r="BZ18" i="4"/>
  <c r="BY18" i="4"/>
  <c r="BX18" i="4"/>
  <c r="BV18" i="4"/>
  <c r="BU18" i="4"/>
  <c r="BT18" i="4"/>
  <c r="BS18" i="4"/>
  <c r="BR18" i="4"/>
  <c r="BQ18" i="4"/>
  <c r="DT18" i="4"/>
  <c r="DU18" i="4" s="1"/>
  <c r="CD17" i="4"/>
  <c r="CC17" i="4"/>
  <c r="CB17" i="4"/>
  <c r="CA17" i="4"/>
  <c r="BZ17" i="4"/>
  <c r="BY17" i="4"/>
  <c r="BX17" i="4"/>
  <c r="BV17" i="4"/>
  <c r="BU17" i="4"/>
  <c r="BT17" i="4"/>
  <c r="BS17" i="4"/>
  <c r="BR17" i="4"/>
  <c r="BQ17" i="4"/>
  <c r="DT17" i="4"/>
  <c r="DU17" i="4" s="1"/>
  <c r="CD16" i="4"/>
  <c r="CC16" i="4"/>
  <c r="CB16" i="4"/>
  <c r="CA16" i="4"/>
  <c r="BZ16" i="4"/>
  <c r="BY16" i="4"/>
  <c r="BX16" i="4"/>
  <c r="BV16" i="4"/>
  <c r="BU16" i="4"/>
  <c r="BT16" i="4"/>
  <c r="BS16" i="4"/>
  <c r="BR16" i="4"/>
  <c r="BQ16" i="4"/>
  <c r="DT16" i="4"/>
  <c r="BS15" i="4"/>
  <c r="CD15" i="4"/>
  <c r="CA15" i="4"/>
  <c r="BY15" i="4"/>
  <c r="BX15" i="4"/>
  <c r="BV15" i="4"/>
  <c r="BU15" i="4"/>
  <c r="BT15" i="4"/>
  <c r="BR15" i="4"/>
  <c r="BQ15" i="4"/>
  <c r="GO22" i="4" l="1"/>
  <c r="GP22" i="4" s="1"/>
  <c r="GQ22" i="4" s="1"/>
  <c r="HN22" i="4" s="1"/>
  <c r="BK22" i="4" s="1"/>
  <c r="DU16" i="4"/>
  <c r="DQ16" i="4"/>
  <c r="DR16" i="4" s="1"/>
  <c r="FA16" i="4" s="1"/>
  <c r="FC16" i="4" s="1"/>
  <c r="BM16" i="4" s="1"/>
  <c r="BN16" i="4" s="1"/>
  <c r="GO19" i="4"/>
  <c r="GP19" i="4" s="1"/>
  <c r="GQ19" i="4" s="1"/>
  <c r="HN19" i="4" s="1"/>
  <c r="BK19" i="4" s="1"/>
  <c r="FL26" i="4"/>
  <c r="GA26" i="4" s="1"/>
  <c r="CY26" i="4"/>
  <c r="DY26" i="4"/>
  <c r="DZ26" i="4" s="1"/>
  <c r="GS26" i="4" s="1"/>
  <c r="CY23" i="4"/>
  <c r="DY23" i="4"/>
  <c r="DZ23" i="4" s="1"/>
  <c r="GS23" i="4" s="1"/>
  <c r="HN24" i="4"/>
  <c r="BK24" i="4" s="1"/>
  <c r="DU27" i="4"/>
  <c r="DQ27" i="4"/>
  <c r="DR27" i="4" s="1"/>
  <c r="FA27" i="4" s="1"/>
  <c r="FC27" i="4" s="1"/>
  <c r="BM27" i="4" s="1"/>
  <c r="BN27" i="4" s="1"/>
  <c r="DU21" i="4"/>
  <c r="DQ21" i="4"/>
  <c r="DR21" i="4" s="1"/>
  <c r="FA21" i="4" s="1"/>
  <c r="FC21" i="4" s="1"/>
  <c r="BM21" i="4" s="1"/>
  <c r="BN21" i="4" s="1"/>
  <c r="DU23" i="4"/>
  <c r="DQ23" i="4"/>
  <c r="DR23" i="4" s="1"/>
  <c r="FA23" i="4" s="1"/>
  <c r="FC23" i="4" s="1"/>
  <c r="BM23" i="4" s="1"/>
  <c r="BN23" i="4" s="1"/>
  <c r="DU29" i="4"/>
  <c r="DQ29" i="4"/>
  <c r="DR29" i="4" s="1"/>
  <c r="FA29" i="4" s="1"/>
  <c r="FC29" i="4" s="1"/>
  <c r="BM29" i="4" s="1"/>
  <c r="BN29" i="4" s="1"/>
  <c r="DO15" i="4"/>
  <c r="DN15" i="4"/>
  <c r="DP15" i="4" s="1"/>
  <c r="FB15" i="4" s="1"/>
  <c r="GT26" i="4" l="1"/>
  <c r="GZ26" i="4" s="1"/>
  <c r="GT23" i="4"/>
  <c r="GZ23" i="4" s="1"/>
  <c r="GR26" i="4"/>
  <c r="EA26" i="4"/>
  <c r="GB26" i="4"/>
  <c r="GC26" i="4" s="1"/>
  <c r="GN26" i="4" s="1"/>
  <c r="GF26" i="4"/>
  <c r="GI26" i="4" s="1"/>
  <c r="GE26" i="4"/>
  <c r="GH26" i="4" s="1"/>
  <c r="GG26" i="4"/>
  <c r="GJ26" i="4" s="1"/>
  <c r="DA26" i="4"/>
  <c r="DB26" i="4" s="1"/>
  <c r="BG26" i="4" s="1"/>
  <c r="CT26" i="4"/>
  <c r="GR23" i="4"/>
  <c r="EA23" i="4"/>
  <c r="DA23" i="4"/>
  <c r="DB23" i="4" s="1"/>
  <c r="BG23" i="4" s="1"/>
  <c r="CT23" i="4"/>
  <c r="AS15" i="4"/>
  <c r="DT15" i="4" s="1"/>
  <c r="GU26" i="4" l="1"/>
  <c r="HB26" i="4" s="1"/>
  <c r="HC26" i="4" s="1"/>
  <c r="HH26" i="4" s="1"/>
  <c r="HJ26" i="4" s="1"/>
  <c r="GU23" i="4"/>
  <c r="HB23" i="4" s="1"/>
  <c r="HD23" i="4" s="1"/>
  <c r="HI23" i="4" s="1"/>
  <c r="HK23" i="4" s="1"/>
  <c r="GO26" i="4"/>
  <c r="GP26" i="4" s="1"/>
  <c r="GQ26" i="4" s="1"/>
  <c r="CC15" i="4"/>
  <c r="HD26" i="4" l="1"/>
  <c r="HI26" i="4" s="1"/>
  <c r="HK26" i="4" s="1"/>
  <c r="HL26" i="4" s="1"/>
  <c r="HM26" i="4" s="1"/>
  <c r="HN26" i="4" s="1"/>
  <c r="BK26" i="4" s="1"/>
  <c r="HC23" i="4"/>
  <c r="HH23" i="4" s="1"/>
  <c r="HJ23" i="4" s="1"/>
  <c r="HL23" i="4" s="1"/>
  <c r="HM23" i="4" s="1"/>
  <c r="HN23" i="4" s="1"/>
  <c r="BK23" i="4" s="1"/>
  <c r="D60" i="7"/>
  <c r="D59" i="7"/>
  <c r="D58" i="7"/>
  <c r="GY15" i="4" l="1"/>
  <c r="FH15" i="4"/>
  <c r="FI15" i="4" s="1"/>
  <c r="FN15" i="4"/>
  <c r="FG15" i="4"/>
  <c r="FF15" i="4"/>
  <c r="GK15" i="4" s="1"/>
  <c r="FE15" i="4"/>
  <c r="FJ15" i="4"/>
  <c r="FP15" i="4" l="1"/>
  <c r="GL15" i="4"/>
  <c r="HE15" i="4"/>
  <c r="GM15" i="4"/>
  <c r="FL15" i="4"/>
  <c r="FO15" i="4"/>
  <c r="FQ15" i="4"/>
  <c r="FT15" i="4"/>
  <c r="FU15" i="4"/>
  <c r="FW15" i="4"/>
  <c r="HF15" i="4"/>
  <c r="GD15" i="4" l="1"/>
  <c r="FM15" i="4"/>
  <c r="GA15" i="4"/>
  <c r="FV15" i="4"/>
  <c r="EH15" i="4"/>
  <c r="GB15" i="4" l="1"/>
  <c r="GC15" i="4" s="1"/>
  <c r="GN15" i="4" s="1"/>
  <c r="EG15" i="4" l="1"/>
  <c r="EK15" i="4" s="1"/>
  <c r="EX15" i="4"/>
  <c r="ER15" i="4"/>
  <c r="EY15" i="4" s="1"/>
  <c r="FK15" i="4"/>
  <c r="EB15" i="4"/>
  <c r="EC15" i="4" s="1"/>
  <c r="EE15" i="4" s="1"/>
  <c r="EF15" i="4" s="1"/>
  <c r="DX15" i="4"/>
  <c r="DY15" i="4" s="1"/>
  <c r="GV15" i="4"/>
  <c r="DS15" i="4"/>
  <c r="DU15" i="4" s="1"/>
  <c r="FR15" i="4" l="1"/>
  <c r="GE15" i="4" s="1"/>
  <c r="FS15" i="4"/>
  <c r="EJ15" i="4"/>
  <c r="GG15" i="4" l="1"/>
  <c r="GJ15" i="4" s="1"/>
  <c r="EZ15" i="4"/>
  <c r="GF15" i="4" l="1"/>
  <c r="GI15" i="4" s="1"/>
  <c r="GH15" i="4"/>
  <c r="GO15" i="4" l="1"/>
  <c r="GP15" i="4" s="1"/>
  <c r="GQ15" i="4" s="1"/>
  <c r="DH15" i="4" l="1"/>
  <c r="CX15" i="4" l="1"/>
  <c r="AO15" i="4" l="1"/>
  <c r="AQ15" i="4"/>
  <c r="DZ15" i="4" l="1"/>
  <c r="GS15" i="4" s="1"/>
  <c r="CY15" i="4"/>
  <c r="CS15" i="4" s="1"/>
  <c r="AY30" i="4"/>
  <c r="DA15" i="4" l="1"/>
  <c r="DB15" i="4" s="1"/>
  <c r="CT15" i="4"/>
  <c r="CU15" i="4" s="1"/>
  <c r="BI15" i="4"/>
  <c r="DF15" i="4"/>
  <c r="DG15" i="4" s="1"/>
  <c r="DJ15" i="4" s="1"/>
  <c r="DK15" i="4" s="1"/>
  <c r="GT15" i="4"/>
  <c r="GZ15" i="4" s="1"/>
  <c r="GR15" i="4"/>
  <c r="EA15" i="4"/>
  <c r="C30" i="4"/>
  <c r="BG15" i="4" l="1"/>
  <c r="BH15" i="4"/>
  <c r="DQ15" i="4"/>
  <c r="DR15" i="4" s="1"/>
  <c r="FA15" i="4" s="1"/>
  <c r="FC15" i="4" s="1"/>
  <c r="GU15" i="4"/>
  <c r="HB15" i="4" s="1"/>
  <c r="HD15" i="4" s="1"/>
  <c r="HI15" i="4" s="1"/>
  <c r="HK15" i="4" s="1"/>
  <c r="BM15" i="4" l="1"/>
  <c r="BN15" i="4" s="1"/>
  <c r="HC15" i="4"/>
  <c r="HH15" i="4" s="1"/>
  <c r="HJ15" i="4" s="1"/>
  <c r="HL15" i="4" s="1"/>
  <c r="HM15" i="4" s="1"/>
  <c r="HN15" i="4" s="1"/>
  <c r="BK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Kovacs Tibor</author>
    <author>Sardi Gabor</author>
    <author>Limacher Karim</author>
  </authors>
  <commentList>
    <comment ref="H13" authorId="0" shapeId="0" xr:uid="{FF6CC3A1-B993-41AF-8C74-5534CEDA1836}">
      <text/>
    </comment>
    <comment ref="O13" authorId="0" shapeId="0" xr:uid="{133BA473-141A-49EE-93D3-9594ED6D296F}">
      <text>
        <r>
          <rPr>
            <b/>
            <sz val="9"/>
            <color indexed="81"/>
            <rFont val="Tahoma"/>
            <family val="2"/>
          </rPr>
          <t xml:space="preserve">Nombre de barres de traction/poussé </t>
        </r>
        <r>
          <rPr>
            <sz val="9"/>
            <color indexed="81"/>
            <rFont val="Tahoma"/>
            <family val="2"/>
          </rPr>
          <t>par produit avec les moments de capacité de portance.</t>
        </r>
      </text>
    </comment>
    <comment ref="T13" authorId="0" shapeId="0" xr:uid="{89F9D409-7557-436B-9F52-96F218F23857}">
      <text>
        <r>
          <rPr>
            <b/>
            <sz val="9"/>
            <color indexed="81"/>
            <rFont val="Tahoma"/>
            <family val="2"/>
          </rPr>
          <t>Nombre d’éléments de poussée</t>
        </r>
      </text>
    </comment>
    <comment ref="V13" authorId="1" shapeId="0" xr:uid="{29D7C408-A5B3-430C-8EBB-BF969CAD06FD}">
      <text>
        <r>
          <rPr>
            <b/>
            <sz val="9"/>
            <color indexed="81"/>
            <rFont val="Tahoma"/>
            <family val="2"/>
          </rPr>
          <t>Hauteur de l'élément</t>
        </r>
      </text>
    </comment>
    <comment ref="AD13" authorId="0" shapeId="0" xr:uid="{D95916F2-88DB-4FED-9835-13C3C1958E20}">
      <text>
        <r>
          <rPr>
            <b/>
            <sz val="9"/>
            <color indexed="81"/>
            <rFont val="Tahoma"/>
            <family val="2"/>
          </rPr>
          <t>Type et épaisseur d‘isolation</t>
        </r>
      </text>
    </comment>
    <comment ref="AH13" authorId="0" shapeId="0" xr:uid="{8431F13D-6EB3-450D-AFCC-AA74E2E5D417}">
      <text>
        <r>
          <rPr>
            <b/>
            <sz val="9"/>
            <color indexed="81"/>
            <rFont val="Tahoma"/>
            <family val="2"/>
          </rPr>
          <t xml:space="preserve">Longueur de l'élément
</t>
        </r>
        <r>
          <rPr>
            <sz val="9"/>
            <color indexed="81"/>
            <rFont val="Tahoma"/>
            <family val="2"/>
          </rPr>
          <t>Lmin ≤ L ≤ 1200 mm
KP-TypeG: L=300 mm
KP-TypeH: L=350 mm
KP-TypeJ: L=350 mm</t>
        </r>
      </text>
    </comment>
    <comment ref="AO13" authorId="0" shapeId="0" xr:uid="{DC505DD3-1EFE-4D9E-88FA-FDE2BBCB925C}">
      <text/>
    </comment>
    <comment ref="AW13" authorId="0" shapeId="0" xr:uid="{A87661BE-7713-4C1E-A4A3-A5FB8966C297}">
      <text>
        <r>
          <rPr>
            <b/>
            <sz val="9"/>
            <color indexed="81"/>
            <rFont val="Tahoma"/>
            <family val="2"/>
          </rPr>
          <t xml:space="preserve">Standard: Avec barres transversales </t>
        </r>
        <r>
          <rPr>
            <sz val="9"/>
            <color indexed="81"/>
            <rFont val="Tahoma"/>
            <family val="2"/>
          </rPr>
          <t xml:space="preserve">
Possibilité: Sans barres transversales dans la zone d’ancrage (OQ). Des barres de montages sont disposées de part et d’autre de l’isolation</t>
        </r>
      </text>
    </comment>
    <comment ref="BF13" authorId="2" shapeId="0" xr:uid="{B8FE3AF2-C6BE-460E-A1B1-F1B819FDF7A7}">
      <text>
        <r>
          <rPr>
            <sz val="9"/>
            <color indexed="81"/>
            <rFont val="Tahoma"/>
            <family val="2"/>
          </rPr>
          <t xml:space="preserve">
</t>
        </r>
      </text>
    </comment>
    <comment ref="V14" authorId="0" shapeId="0" xr:uid="{96B93323-42BD-445E-8040-68B6283CB713}">
      <text/>
    </comment>
    <comment ref="X14" authorId="0" shapeId="0" xr:uid="{ED51187B-87E8-44F1-A28D-10661D3CA8EC}">
      <text/>
    </comment>
    <comment ref="Z14" authorId="0" shapeId="0" xr:uid="{B78F0E2B-FCEC-497F-A957-2B34D4F632A3}">
      <text/>
    </comment>
    <comment ref="AB14" authorId="0" shapeId="0" xr:uid="{D4A39304-C08D-4812-9601-F27625BF3022}">
      <text/>
    </comment>
    <comment ref="AK14" authorId="0" shapeId="0" xr:uid="{0A22C224-AC67-44E8-97E4-C67EF6B49BEC}">
      <text/>
    </comment>
    <comment ref="AM14" authorId="0" shapeId="0" xr:uid="{58BEA495-6D44-4241-99E4-A0FD1B0CB161}">
      <text/>
    </comment>
  </commentList>
</comments>
</file>

<file path=xl/sharedStrings.xml><?xml version="1.0" encoding="utf-8"?>
<sst xmlns="http://schemas.openxmlformats.org/spreadsheetml/2006/main" count="2125" uniqueCount="573">
  <si>
    <t>D</t>
  </si>
  <si>
    <t>ISO</t>
  </si>
  <si>
    <t>H</t>
  </si>
  <si>
    <t>DH</t>
  </si>
  <si>
    <t>SW</t>
  </si>
  <si>
    <t>XPS</t>
  </si>
  <si>
    <t>Pos.</t>
  </si>
  <si>
    <t>x</t>
  </si>
  <si>
    <t xml:space="preserve"> KP-800
KP-1000</t>
  </si>
  <si>
    <t>60
90
120</t>
  </si>
  <si>
    <t>7</t>
  </si>
  <si>
    <t xml:space="preserve"> KP-700</t>
  </si>
  <si>
    <r>
      <t xml:space="preserve">DH
</t>
    </r>
    <r>
      <rPr>
        <sz val="11"/>
        <color theme="1"/>
        <rFont val="Calibri"/>
        <family val="2"/>
        <scheme val="minor"/>
      </rPr>
      <t>[mm]</t>
    </r>
  </si>
  <si>
    <t>00</t>
  </si>
  <si>
    <t>01</t>
  </si>
  <si>
    <t>02</t>
  </si>
  <si>
    <t>03</t>
  </si>
  <si>
    <t>04</t>
  </si>
  <si>
    <t>05</t>
  </si>
  <si>
    <t>06</t>
  </si>
  <si>
    <t>07</t>
  </si>
  <si>
    <t>08</t>
  </si>
  <si>
    <t>10</t>
  </si>
  <si>
    <t>11</t>
  </si>
  <si>
    <r>
      <t xml:space="preserve">H
</t>
    </r>
    <r>
      <rPr>
        <sz val="11"/>
        <color theme="1"/>
        <rFont val="Calibri"/>
        <family val="2"/>
        <scheme val="minor"/>
      </rPr>
      <t>[mm]</t>
    </r>
  </si>
  <si>
    <r>
      <t>Ø</t>
    </r>
    <r>
      <rPr>
        <b/>
        <sz val="11"/>
        <color theme="1"/>
        <rFont val="Calibri"/>
        <family val="2"/>
      </rPr>
      <t xml:space="preserve">
</t>
    </r>
    <r>
      <rPr>
        <sz val="11"/>
        <color theme="1"/>
        <rFont val="Calibri"/>
        <family val="2"/>
      </rPr>
      <t>[mm]</t>
    </r>
  </si>
  <si>
    <t>(12)</t>
  </si>
  <si>
    <t>(8)</t>
  </si>
  <si>
    <t>5</t>
  </si>
  <si>
    <t>120</t>
  </si>
  <si>
    <t>(PUR)</t>
  </si>
  <si>
    <t>VE1</t>
  </si>
  <si>
    <t>VE2</t>
  </si>
  <si>
    <t>KP-1</t>
  </si>
  <si>
    <t>KPE-1</t>
  </si>
  <si>
    <t>KP-2</t>
  </si>
  <si>
    <t>KP-3</t>
  </si>
  <si>
    <t>KPE-3</t>
  </si>
  <si>
    <t>KP-5</t>
  </si>
  <si>
    <t>KP-6</t>
  </si>
  <si>
    <t>KP-7</t>
  </si>
  <si>
    <t>KP-8</t>
  </si>
  <si>
    <t>KP-9</t>
  </si>
  <si>
    <t>KPE-9</t>
  </si>
  <si>
    <t>KP-10</t>
  </si>
  <si>
    <t>KP-11</t>
  </si>
  <si>
    <t>KP-12</t>
  </si>
  <si>
    <t>KP-TypG</t>
  </si>
  <si>
    <r>
      <t xml:space="preserve">+IO
</t>
    </r>
    <r>
      <rPr>
        <sz val="11"/>
        <color theme="1"/>
        <rFont val="Calibri"/>
        <family val="2"/>
        <scheme val="minor"/>
      </rPr>
      <t>[mm]</t>
    </r>
  </si>
  <si>
    <r>
      <t xml:space="preserve">+IU
</t>
    </r>
    <r>
      <rPr>
        <sz val="11"/>
        <color theme="1"/>
        <rFont val="Calibri"/>
        <family val="2"/>
        <scheme val="minor"/>
      </rPr>
      <t>[mm]</t>
    </r>
  </si>
  <si>
    <t>Art</t>
  </si>
  <si>
    <t>KP100.</t>
  </si>
  <si>
    <t>KPE100.</t>
  </si>
  <si>
    <t>KP200.</t>
  </si>
  <si>
    <t>KP300.</t>
  </si>
  <si>
    <t>KPE300.</t>
  </si>
  <si>
    <t>KP500.</t>
  </si>
  <si>
    <t>KP600.</t>
  </si>
  <si>
    <t>KP700.</t>
  </si>
  <si>
    <t>KP800.</t>
  </si>
  <si>
    <t>KP900.</t>
  </si>
  <si>
    <t>KPE900.</t>
  </si>
  <si>
    <t>KP1000.</t>
  </si>
  <si>
    <t>KP1100.</t>
  </si>
  <si>
    <t>KP1200.</t>
  </si>
  <si>
    <t>TypG.</t>
  </si>
  <si>
    <t>140</t>
  </si>
  <si>
    <t>160</t>
  </si>
  <si>
    <t>180</t>
  </si>
  <si>
    <t>200</t>
  </si>
  <si>
    <t>220</t>
  </si>
  <si>
    <t>240</t>
  </si>
  <si>
    <t>260</t>
  </si>
  <si>
    <t>280</t>
  </si>
  <si>
    <t>300</t>
  </si>
  <si>
    <t>230</t>
  </si>
  <si>
    <t>250</t>
  </si>
  <si>
    <t>270</t>
  </si>
  <si>
    <t>290</t>
  </si>
  <si>
    <t>310</t>
  </si>
  <si>
    <t>330</t>
  </si>
  <si>
    <t>KP100D.</t>
  </si>
  <si>
    <t>KPE100D.</t>
  </si>
  <si>
    <t>KP200D.</t>
  </si>
  <si>
    <t>KP300D.</t>
  </si>
  <si>
    <t>KPE300D.</t>
  </si>
  <si>
    <t>KP500D.</t>
  </si>
  <si>
    <t>KP600D.</t>
  </si>
  <si>
    <t>KP700D.</t>
  </si>
  <si>
    <t>KP800D.</t>
  </si>
  <si>
    <t>KP900D.</t>
  </si>
  <si>
    <t>KPE900D.</t>
  </si>
  <si>
    <t>KP1000D.</t>
  </si>
  <si>
    <t>KP1100D.</t>
  </si>
  <si>
    <t>KP1200D.</t>
  </si>
  <si>
    <t>TypG01D.</t>
  </si>
  <si>
    <t>TypG02D.</t>
  </si>
  <si>
    <t>Typ +
Subtyp</t>
  </si>
  <si>
    <t>Typ + 
ISO Stärke</t>
  </si>
  <si>
    <t>KP100IS.</t>
  </si>
  <si>
    <t>KP200IS.</t>
  </si>
  <si>
    <t>KPE100IS.</t>
  </si>
  <si>
    <t>KP300IS.</t>
  </si>
  <si>
    <t>KPE300IS.</t>
  </si>
  <si>
    <t>KP500IS.</t>
  </si>
  <si>
    <t>KP600IS.</t>
  </si>
  <si>
    <t>KP700IS.</t>
  </si>
  <si>
    <t>KP800IS.</t>
  </si>
  <si>
    <t>KP900IS.</t>
  </si>
  <si>
    <t>KPE900IS.</t>
  </si>
  <si>
    <t>KP1000IS.</t>
  </si>
  <si>
    <t>KP1100IS.</t>
  </si>
  <si>
    <t>KP1200IS.</t>
  </si>
  <si>
    <t>TypGIS.</t>
  </si>
  <si>
    <t>KP100IT.</t>
  </si>
  <si>
    <t>KPE100IT.</t>
  </si>
  <si>
    <t>KP200IT.</t>
  </si>
  <si>
    <t>KP300IT.</t>
  </si>
  <si>
    <t>KPE300IT.</t>
  </si>
  <si>
    <t>KP500IT.</t>
  </si>
  <si>
    <t>KP600IT.</t>
  </si>
  <si>
    <t>KP700IT.</t>
  </si>
  <si>
    <t>KP800IT.</t>
  </si>
  <si>
    <t>KP900IT.</t>
  </si>
  <si>
    <t>KPE900IT.</t>
  </si>
  <si>
    <t>KP1000IT.</t>
  </si>
  <si>
    <t>KP1100IT.</t>
  </si>
  <si>
    <t>KP1200IT.</t>
  </si>
  <si>
    <t>TypGIT.</t>
  </si>
  <si>
    <t>FG</t>
  </si>
  <si>
    <t>Typ + 
ISO Typ</t>
  </si>
  <si>
    <t>60</t>
  </si>
  <si>
    <t>110</t>
  </si>
  <si>
    <t>130</t>
  </si>
  <si>
    <t>150</t>
  </si>
  <si>
    <t>90</t>
  </si>
  <si>
    <t>KP-800 / KP-1000</t>
  </si>
  <si>
    <t>KP100F.</t>
  </si>
  <si>
    <t>KP200F.</t>
  </si>
  <si>
    <t>KPE100F.</t>
  </si>
  <si>
    <t>KP300F.</t>
  </si>
  <si>
    <t>KPE300F.</t>
  </si>
  <si>
    <t>KP500F.</t>
  </si>
  <si>
    <t>KP600F.</t>
  </si>
  <si>
    <t>KP700F.</t>
  </si>
  <si>
    <t>KP800F.</t>
  </si>
  <si>
    <t>KP900F.</t>
  </si>
  <si>
    <t>KPE900F.</t>
  </si>
  <si>
    <t>KP1100F.</t>
  </si>
  <si>
    <t>KP1200F.</t>
  </si>
  <si>
    <t>TypGF.</t>
  </si>
  <si>
    <t>KP1000F.</t>
  </si>
  <si>
    <t>KP100S.</t>
  </si>
  <si>
    <t>KPE100S.</t>
  </si>
  <si>
    <t>KP200S.</t>
  </si>
  <si>
    <t>KP300S.</t>
  </si>
  <si>
    <t>KPE300S.</t>
  </si>
  <si>
    <t>KP500S.</t>
  </si>
  <si>
    <t>KP600S.</t>
  </si>
  <si>
    <t>KP700S.</t>
  </si>
  <si>
    <t>KP800S.</t>
  </si>
  <si>
    <t>KP900S.</t>
  </si>
  <si>
    <t>KPE900S.</t>
  </si>
  <si>
    <t>KP1000S.</t>
  </si>
  <si>
    <t>leer</t>
  </si>
  <si>
    <t>KP1100S.</t>
  </si>
  <si>
    <t>KP1200S.</t>
  </si>
  <si>
    <t>TypGS.</t>
  </si>
  <si>
    <t>REI 60</t>
  </si>
  <si>
    <t>REI 90</t>
  </si>
  <si>
    <r>
      <t xml:space="preserve">S11 </t>
    </r>
    <r>
      <rPr>
        <sz val="8"/>
        <color theme="1"/>
        <rFont val="Calibri"/>
        <family val="2"/>
        <scheme val="minor"/>
      </rPr>
      <t>(7)</t>
    </r>
    <r>
      <rPr>
        <b/>
        <sz val="11"/>
        <color theme="1"/>
        <rFont val="Calibri"/>
        <family val="2"/>
        <scheme val="minor"/>
      </rPr>
      <t xml:space="preserve">
</t>
    </r>
    <r>
      <rPr>
        <sz val="11"/>
        <color theme="1"/>
        <rFont val="Calibri"/>
        <family val="2"/>
        <scheme val="minor"/>
      </rPr>
      <t>[mm]</t>
    </r>
  </si>
  <si>
    <t>230
260
290</t>
  </si>
  <si>
    <t>250
280
310</t>
  </si>
  <si>
    <t>270
300
330</t>
  </si>
  <si>
    <t>Dleer.</t>
  </si>
  <si>
    <t>ISleer.</t>
  </si>
  <si>
    <t>ITleer.</t>
  </si>
  <si>
    <t>Fleer.</t>
  </si>
  <si>
    <t>8</t>
  </si>
  <si>
    <t>KP100A.</t>
  </si>
  <si>
    <t>KPE100A.</t>
  </si>
  <si>
    <t>KP200A.</t>
  </si>
  <si>
    <t>KP300A.</t>
  </si>
  <si>
    <t>KPE300A.</t>
  </si>
  <si>
    <t>KP500A.</t>
  </si>
  <si>
    <t>KP600A.</t>
  </si>
  <si>
    <t>KP700A.</t>
  </si>
  <si>
    <t>KP800A.</t>
  </si>
  <si>
    <t>KP900A.</t>
  </si>
  <si>
    <t>KPE900A.</t>
  </si>
  <si>
    <t>KP1000A.</t>
  </si>
  <si>
    <t>KP1100A.</t>
  </si>
  <si>
    <t>KP1200A.</t>
  </si>
  <si>
    <t>TypGA.</t>
  </si>
  <si>
    <t>KP100OQ.</t>
  </si>
  <si>
    <t>KPE100OQ.</t>
  </si>
  <si>
    <t>KP200OQ.</t>
  </si>
  <si>
    <t>KP300OQ.</t>
  </si>
  <si>
    <t>KPE300OQ.</t>
  </si>
  <si>
    <t>KP500OQ.</t>
  </si>
  <si>
    <t>KP600OQ.</t>
  </si>
  <si>
    <t>KP700OQ.</t>
  </si>
  <si>
    <t>KP800OQ.</t>
  </si>
  <si>
    <t>KP900OQ.</t>
  </si>
  <si>
    <t>KPE900OQ.</t>
  </si>
  <si>
    <t>KP1000OQ.</t>
  </si>
  <si>
    <t>KP1100OQ.</t>
  </si>
  <si>
    <t>KP1200OQ.</t>
  </si>
  <si>
    <t>TypGOQ.</t>
  </si>
  <si>
    <t>Typ +
Ausführung</t>
  </si>
  <si>
    <t>Typ + 
Feuer-widerstand</t>
  </si>
  <si>
    <t>Typ + 
seismisch</t>
  </si>
  <si>
    <t>Typ + 
OQ</t>
  </si>
  <si>
    <t>Typ +
Elementhöhe</t>
  </si>
  <si>
    <t>n</t>
  </si>
  <si>
    <t>Ø</t>
  </si>
  <si>
    <t>BEGRENZUNGEN</t>
  </si>
  <si>
    <t>1. Begrenzung: Typ -&gt; Subtyp</t>
  </si>
  <si>
    <t>2. Begrenzung: Typ -&gt;  Ausführung</t>
  </si>
  <si>
    <t>3. Begrenzung: Typ -&gt; Elementhöhe</t>
  </si>
  <si>
    <t>4. Begrenzung: Typ -&gt;  ISO Typ</t>
  </si>
  <si>
    <t>5. Begrenzung: Typ -&gt;  ISO Stärke</t>
  </si>
  <si>
    <t>6. Begrenzung: Typ -&gt;  Feuerwiderstand</t>
  </si>
  <si>
    <t>7. Begrenzung: Typ -&gt;  seismisch</t>
  </si>
  <si>
    <t>8. Begrenzung: Typ -&gt; OQ</t>
  </si>
  <si>
    <t>EI 60</t>
  </si>
  <si>
    <t>EI 90</t>
  </si>
  <si>
    <t>n2.</t>
  </si>
  <si>
    <t>n3.</t>
  </si>
  <si>
    <t>n4.</t>
  </si>
  <si>
    <t>n5.</t>
  </si>
  <si>
    <t>n6.</t>
  </si>
  <si>
    <t>n7.</t>
  </si>
  <si>
    <t>n8.</t>
  </si>
  <si>
    <t>n9.</t>
  </si>
  <si>
    <t>n10.</t>
  </si>
  <si>
    <t>2</t>
  </si>
  <si>
    <t>4</t>
  </si>
  <si>
    <t>6</t>
  </si>
  <si>
    <t>9</t>
  </si>
  <si>
    <t>n0.</t>
  </si>
  <si>
    <t>9. Begrenzung: Typ -&gt; Stabmenge (n)</t>
  </si>
  <si>
    <r>
      <t>10. Begrenzung: Typ -&gt; Stabmenge (</t>
    </r>
    <r>
      <rPr>
        <b/>
        <sz val="12"/>
        <color theme="1"/>
        <rFont val="Calibri"/>
        <family val="2"/>
      </rPr>
      <t>Ø</t>
    </r>
    <r>
      <rPr>
        <b/>
        <sz val="12"/>
        <color theme="1"/>
        <rFont val="Calibri"/>
        <family val="2"/>
        <scheme val="minor"/>
      </rPr>
      <t>)</t>
    </r>
  </si>
  <si>
    <t>11. Begrenzung: n(Stab) -&gt; n(H Platte)</t>
  </si>
  <si>
    <t>n(Stab)/Kiz.</t>
  </si>
  <si>
    <t>KPE100Sn.</t>
  </si>
  <si>
    <t>KP100Sn.</t>
  </si>
  <si>
    <t>KP200Sn.</t>
  </si>
  <si>
    <t>KP300Sn.</t>
  </si>
  <si>
    <t>KPE300Sn.</t>
  </si>
  <si>
    <t>KP500Sn.</t>
  </si>
  <si>
    <t>KP600Sn.</t>
  </si>
  <si>
    <t>KP700Sn.</t>
  </si>
  <si>
    <t>KP800Sn.</t>
  </si>
  <si>
    <t>KP900Sn.</t>
  </si>
  <si>
    <t>KPE900Sn.</t>
  </si>
  <si>
    <t>KP1000Sn.</t>
  </si>
  <si>
    <t>KP1100Sn.</t>
  </si>
  <si>
    <t>KP1200Sn.</t>
  </si>
  <si>
    <t>TypGSn.</t>
  </si>
  <si>
    <t>KP100Sf.</t>
  </si>
  <si>
    <t>KPE100Sf.</t>
  </si>
  <si>
    <t>KP200Sf.</t>
  </si>
  <si>
    <t>KP300Sf.</t>
  </si>
  <si>
    <t>KPE300Sf.</t>
  </si>
  <si>
    <t>KP500Sf.</t>
  </si>
  <si>
    <t>KP600Sf.</t>
  </si>
  <si>
    <t>KP700Sf.</t>
  </si>
  <si>
    <t>KP800Sf.</t>
  </si>
  <si>
    <t>KP900Sf.</t>
  </si>
  <si>
    <t>KPE900Sf.</t>
  </si>
  <si>
    <t>KP1000Sf.</t>
  </si>
  <si>
    <t>KP1100Sf.</t>
  </si>
  <si>
    <t>KP1200Sf.</t>
  </si>
  <si>
    <t>TypGSf.</t>
  </si>
  <si>
    <t>14</t>
  </si>
  <si>
    <t>3</t>
  </si>
  <si>
    <r>
      <t>n</t>
    </r>
    <r>
      <rPr>
        <b/>
        <vertAlign val="subscript"/>
        <sz val="11"/>
        <color rgb="FFC00000"/>
        <rFont val="Calibri"/>
        <family val="2"/>
        <scheme val="minor"/>
      </rPr>
      <t>S</t>
    </r>
  </si>
  <si>
    <r>
      <t xml:space="preserve">Typ + 
n(Stab)
</t>
    </r>
    <r>
      <rPr>
        <sz val="11"/>
        <color theme="1"/>
        <rFont val="Calibri"/>
        <family val="2"/>
        <scheme val="minor"/>
      </rPr>
      <t>Sonder</t>
    </r>
  </si>
  <si>
    <r>
      <t xml:space="preserve">Typ + 
n(Stab)
</t>
    </r>
    <r>
      <rPr>
        <sz val="11"/>
        <color theme="1"/>
        <rFont val="Calibri"/>
        <family val="2"/>
        <scheme val="minor"/>
      </rPr>
      <t>Standard</t>
    </r>
  </si>
  <si>
    <r>
      <t xml:space="preserve">Typ + 
</t>
    </r>
    <r>
      <rPr>
        <b/>
        <sz val="11"/>
        <color theme="1"/>
        <rFont val="Calibri"/>
        <family val="2"/>
      </rPr>
      <t xml:space="preserve">Ø(Stab)
</t>
    </r>
    <r>
      <rPr>
        <sz val="11"/>
        <color theme="1"/>
        <rFont val="Calibri"/>
        <family val="2"/>
      </rPr>
      <t>Sonder</t>
    </r>
  </si>
  <si>
    <r>
      <t xml:space="preserve">Typ + 
</t>
    </r>
    <r>
      <rPr>
        <b/>
        <sz val="11"/>
        <color theme="1"/>
        <rFont val="Calibri"/>
        <family val="2"/>
      </rPr>
      <t xml:space="preserve">Ø(Stab)
</t>
    </r>
    <r>
      <rPr>
        <sz val="11"/>
        <color theme="1"/>
        <rFont val="Calibri"/>
        <family val="2"/>
      </rPr>
      <t>Standard</t>
    </r>
  </si>
  <si>
    <r>
      <t xml:space="preserve">n(Stab) + 
n(H Platte)
</t>
    </r>
    <r>
      <rPr>
        <sz val="11"/>
        <color theme="1"/>
        <rFont val="Calibri"/>
        <family val="2"/>
        <scheme val="minor"/>
      </rPr>
      <t>Sonder</t>
    </r>
  </si>
  <si>
    <r>
      <t xml:space="preserve">n(Stab) + 
n(H Platte)
</t>
    </r>
    <r>
      <rPr>
        <sz val="11"/>
        <color theme="1"/>
        <rFont val="Calibri"/>
        <family val="2"/>
        <scheme val="minor"/>
      </rPr>
      <t>Standard</t>
    </r>
  </si>
  <si>
    <t xml:space="preserve"> </t>
  </si>
  <si>
    <r>
      <t>L</t>
    </r>
    <r>
      <rPr>
        <b/>
        <sz val="11"/>
        <color theme="1"/>
        <rFont val="Calibri"/>
        <family val="2"/>
        <scheme val="minor"/>
      </rPr>
      <t xml:space="preserve">
</t>
    </r>
    <r>
      <rPr>
        <sz val="11"/>
        <color theme="1"/>
        <rFont val="Calibri"/>
        <family val="2"/>
        <scheme val="minor"/>
      </rPr>
      <t>[mm]</t>
    </r>
  </si>
  <si>
    <r>
      <t>L</t>
    </r>
    <r>
      <rPr>
        <b/>
        <vertAlign val="subscript"/>
        <sz val="11"/>
        <color theme="1"/>
        <rFont val="Calibri"/>
        <family val="2"/>
        <scheme val="minor"/>
      </rPr>
      <t>min</t>
    </r>
    <r>
      <rPr>
        <sz val="8"/>
        <color theme="1"/>
        <rFont val="Calibri"/>
        <family val="2"/>
        <scheme val="minor"/>
      </rPr>
      <t xml:space="preserve"> (6)</t>
    </r>
    <r>
      <rPr>
        <b/>
        <sz val="11"/>
        <color theme="1"/>
        <rFont val="Calibri"/>
        <family val="2"/>
        <scheme val="minor"/>
      </rPr>
      <t xml:space="preserve">
</t>
    </r>
    <r>
      <rPr>
        <sz val="11"/>
        <color theme="1"/>
        <rFont val="Calibri"/>
        <family val="2"/>
        <scheme val="minor"/>
      </rPr>
      <t>[mm]</t>
    </r>
  </si>
  <si>
    <t>RS</t>
  </si>
  <si>
    <t>(14)</t>
  </si>
  <si>
    <r>
      <t xml:space="preserve">D </t>
    </r>
    <r>
      <rPr>
        <sz val="8"/>
        <color theme="1"/>
        <rFont val="Calibri"/>
        <family val="2"/>
        <scheme val="minor"/>
      </rPr>
      <t>(4)</t>
    </r>
    <r>
      <rPr>
        <b/>
        <sz val="11"/>
        <color theme="1"/>
        <rFont val="Calibri"/>
        <family val="2"/>
        <scheme val="minor"/>
      </rPr>
      <t xml:space="preserve">
</t>
    </r>
    <r>
      <rPr>
        <sz val="11"/>
        <color theme="1"/>
        <rFont val="Calibri"/>
        <family val="2"/>
        <scheme val="minor"/>
      </rPr>
      <t>[mm]</t>
    </r>
  </si>
  <si>
    <t>HRd</t>
  </si>
  <si>
    <t>NRd</t>
  </si>
  <si>
    <t>NRd,tot</t>
  </si>
  <si>
    <t>-</t>
  </si>
  <si>
    <t>lbdsoll</t>
  </si>
  <si>
    <t>(a) MRd (Nd= 0)</t>
  </si>
  <si>
    <t>(b) NRd (Md= 0)</t>
  </si>
  <si>
    <t>VRd,tot</t>
  </si>
  <si>
    <t>VRd,1</t>
  </si>
  <si>
    <t>M</t>
  </si>
  <si>
    <t>V</t>
  </si>
  <si>
    <t>±</t>
  </si>
  <si>
    <t>+</t>
  </si>
  <si>
    <t>Vorzeichen</t>
  </si>
  <si>
    <t>voll</t>
  </si>
  <si>
    <t>NRd,voll</t>
  </si>
  <si>
    <t>NRd,massg</t>
  </si>
  <si>
    <t>Tragwiderstand KP-600</t>
  </si>
  <si>
    <t>Tragwiderstand KP-800/1000</t>
  </si>
  <si>
    <t>Tragwiderstand KP-1100/1200</t>
  </si>
  <si>
    <t>VRd</t>
  </si>
  <si>
    <t>Tragwiderstand KP-200/500/700/Typ-G</t>
  </si>
  <si>
    <t>ø</t>
  </si>
  <si>
    <t>MRd</t>
  </si>
  <si>
    <t>Tragwiderstand KP-1000</t>
  </si>
  <si>
    <t>Tragwiderstand KP-100</t>
  </si>
  <si>
    <t>Tragwiderstand KPE-100</t>
  </si>
  <si>
    <t>Tragwiderstand KPE-300</t>
  </si>
  <si>
    <t>Tragwiderstand KP-300</t>
  </si>
  <si>
    <t>Tragwiderstand KP-200/700</t>
  </si>
  <si>
    <t>Tragwiderstand KP-1200</t>
  </si>
  <si>
    <t>Tragwiderstand KP-1100</t>
  </si>
  <si>
    <t>MRd,tot</t>
  </si>
  <si>
    <t>MRd,voll</t>
  </si>
  <si>
    <t>MRd,1</t>
  </si>
  <si>
    <t>110-60</t>
  </si>
  <si>
    <t>110-90</t>
  </si>
  <si>
    <t>110-120</t>
  </si>
  <si>
    <t>130-60</t>
  </si>
  <si>
    <t>130-90</t>
  </si>
  <si>
    <t>130-120</t>
  </si>
  <si>
    <t>150-60</t>
  </si>
  <si>
    <t>150-90</t>
  </si>
  <si>
    <t>150-120</t>
  </si>
  <si>
    <t>Tragwiderstand KP(E)-100/300/200/500/700/900</t>
  </si>
  <si>
    <t>nS</t>
  </si>
  <si>
    <t>lbd,soll</t>
  </si>
  <si>
    <t>lbd,ist</t>
  </si>
  <si>
    <t>red,Faktor</t>
  </si>
  <si>
    <t>NRd,red</t>
  </si>
  <si>
    <t>ø10-60</t>
  </si>
  <si>
    <t>ø10-80</t>
  </si>
  <si>
    <t>ø10-100</t>
  </si>
  <si>
    <t>ø10-120</t>
  </si>
  <si>
    <t>ø14-60</t>
  </si>
  <si>
    <t>ø14-80</t>
  </si>
  <si>
    <t>ø14-100</t>
  </si>
  <si>
    <t>ø14-120</t>
  </si>
  <si>
    <t>ø/ISO</t>
  </si>
  <si>
    <t>ø(8)-60</t>
  </si>
  <si>
    <t>ø(8)-80</t>
  </si>
  <si>
    <t>ø(8)-100</t>
  </si>
  <si>
    <t>ø(8)-120</t>
  </si>
  <si>
    <t>ø(12)-60</t>
  </si>
  <si>
    <t>ø(12)-80</t>
  </si>
  <si>
    <t>ø(12)-100</t>
  </si>
  <si>
    <t>ø(12)-120</t>
  </si>
  <si>
    <t>lb,soll</t>
  </si>
  <si>
    <t>lb,ist</t>
  </si>
  <si>
    <t>Reduktionsfaktoren KP-700</t>
  </si>
  <si>
    <t>Mrd,massg</t>
  </si>
  <si>
    <t>Mrd,red</t>
  </si>
  <si>
    <t>ø(14)-60</t>
  </si>
  <si>
    <t>ø(14)-80</t>
  </si>
  <si>
    <t>ø(14)-100</t>
  </si>
  <si>
    <t>ø(14)-120</t>
  </si>
  <si>
    <t>λeq</t>
  </si>
  <si>
    <t>REI</t>
  </si>
  <si>
    <t>λD</t>
  </si>
  <si>
    <t>Dtot</t>
  </si>
  <si>
    <t>Aiso,tot</t>
  </si>
  <si>
    <t>Aiso,red</t>
  </si>
  <si>
    <t>λREI</t>
  </si>
  <si>
    <t>λISO</t>
  </si>
  <si>
    <t>Atot</t>
  </si>
  <si>
    <t>ebea KP</t>
  </si>
  <si>
    <t>Typ</t>
  </si>
  <si>
    <t>Schub</t>
  </si>
  <si>
    <t>DP</t>
  </si>
  <si>
    <t>DS</t>
  </si>
  <si>
    <t>SP</t>
  </si>
  <si>
    <t>SB</t>
  </si>
  <si>
    <t>H,red</t>
  </si>
  <si>
    <t>Druckpuffer</t>
  </si>
  <si>
    <t>UHFB</t>
  </si>
  <si>
    <t>Druckpuffer KP-1/KPE-1/KP-11</t>
  </si>
  <si>
    <t>Druckpuffer KP-3/KPE-3</t>
  </si>
  <si>
    <t>Druckpuffertypen</t>
  </si>
  <si>
    <t>A,DP</t>
  </si>
  <si>
    <t>λ,DP</t>
  </si>
  <si>
    <t>tw</t>
  </si>
  <si>
    <t>λSV</t>
  </si>
  <si>
    <t>As,SP</t>
  </si>
  <si>
    <t>As,SB</t>
  </si>
  <si>
    <t>λSH</t>
  </si>
  <si>
    <t>nSv</t>
  </si>
  <si>
    <t>nSh</t>
  </si>
  <si>
    <t>As,n</t>
  </si>
  <si>
    <t>λZn</t>
  </si>
  <si>
    <t>λDn</t>
  </si>
  <si>
    <t>Typ,DP</t>
  </si>
  <si>
    <t>A,REI</t>
  </si>
  <si>
    <t>As,DP</t>
  </si>
  <si>
    <t>Anzahl Druckpuffer</t>
  </si>
  <si>
    <t>Faktor</t>
  </si>
  <si>
    <t>n,tot</t>
  </si>
  <si>
    <t>Anzahl</t>
  </si>
  <si>
    <t>Σλ</t>
  </si>
  <si>
    <t>A,SV</t>
  </si>
  <si>
    <t>A,SH</t>
  </si>
  <si>
    <t>A,Zn</t>
  </si>
  <si>
    <t>A,Dn</t>
  </si>
  <si>
    <r>
      <t>M</t>
    </r>
    <r>
      <rPr>
        <b/>
        <vertAlign val="subscript"/>
        <sz val="11"/>
        <color theme="1"/>
        <rFont val="Calibri"/>
        <family val="2"/>
        <scheme val="minor"/>
      </rPr>
      <t>Rd</t>
    </r>
    <r>
      <rPr>
        <b/>
        <sz val="11"/>
        <color theme="1"/>
        <rFont val="Calibri"/>
        <family val="2"/>
        <scheme val="minor"/>
      </rPr>
      <t xml:space="preserve"> </t>
    </r>
    <r>
      <rPr>
        <sz val="10"/>
        <color theme="1"/>
        <rFont val="Calibri"/>
        <family val="2"/>
        <scheme val="minor"/>
      </rPr>
      <t>(a)</t>
    </r>
    <r>
      <rPr>
        <b/>
        <sz val="11"/>
        <color theme="1"/>
        <rFont val="Calibri"/>
        <family val="2"/>
        <scheme val="minor"/>
      </rPr>
      <t xml:space="preserve">
</t>
    </r>
    <r>
      <rPr>
        <sz val="11"/>
        <color theme="1"/>
        <rFont val="Calibri"/>
        <family val="2"/>
        <scheme val="minor"/>
      </rPr>
      <t>[kNm]</t>
    </r>
  </si>
  <si>
    <r>
      <t>V</t>
    </r>
    <r>
      <rPr>
        <b/>
        <vertAlign val="subscript"/>
        <sz val="11"/>
        <color theme="1"/>
        <rFont val="Calibri"/>
        <family val="2"/>
        <scheme val="minor"/>
      </rPr>
      <t>Rd</t>
    </r>
    <r>
      <rPr>
        <b/>
        <sz val="11"/>
        <color theme="1"/>
        <rFont val="Calibri"/>
        <family val="2"/>
        <scheme val="minor"/>
      </rPr>
      <t xml:space="preserve">
</t>
    </r>
    <r>
      <rPr>
        <sz val="11"/>
        <color theme="1"/>
        <rFont val="Calibri"/>
        <family val="2"/>
        <scheme val="minor"/>
      </rPr>
      <t>[kN]</t>
    </r>
  </si>
  <si>
    <r>
      <t>N</t>
    </r>
    <r>
      <rPr>
        <b/>
        <vertAlign val="subscript"/>
        <sz val="11"/>
        <color theme="1"/>
        <rFont val="Calibri"/>
        <family val="2"/>
        <scheme val="minor"/>
      </rPr>
      <t>Rd</t>
    </r>
    <r>
      <rPr>
        <b/>
        <sz val="11"/>
        <color theme="1"/>
        <rFont val="Calibri"/>
        <family val="2"/>
        <scheme val="minor"/>
      </rPr>
      <t xml:space="preserve"> </t>
    </r>
    <r>
      <rPr>
        <sz val="10"/>
        <color theme="1"/>
        <rFont val="Calibri"/>
        <family val="2"/>
        <scheme val="minor"/>
      </rPr>
      <t>(b)</t>
    </r>
    <r>
      <rPr>
        <b/>
        <sz val="11"/>
        <color theme="1"/>
        <rFont val="Calibri"/>
        <family val="2"/>
        <scheme val="minor"/>
      </rPr>
      <t xml:space="preserve">
</t>
    </r>
    <r>
      <rPr>
        <sz val="11"/>
        <color theme="1"/>
        <rFont val="Calibri"/>
        <family val="2"/>
        <scheme val="minor"/>
      </rPr>
      <t>[kN]</t>
    </r>
  </si>
  <si>
    <r>
      <t>H</t>
    </r>
    <r>
      <rPr>
        <b/>
        <vertAlign val="subscript"/>
        <sz val="11"/>
        <color theme="1"/>
        <rFont val="Calibri"/>
        <family val="2"/>
        <scheme val="minor"/>
      </rPr>
      <t>Rd</t>
    </r>
    <r>
      <rPr>
        <b/>
        <sz val="11"/>
        <color theme="1"/>
        <rFont val="Calibri"/>
        <family val="2"/>
        <scheme val="minor"/>
      </rPr>
      <t xml:space="preserve">
</t>
    </r>
    <r>
      <rPr>
        <sz val="11"/>
        <color theme="1"/>
        <rFont val="Calibri"/>
        <family val="2"/>
        <scheme val="minor"/>
      </rPr>
      <t>[kN]</t>
    </r>
  </si>
  <si>
    <r>
      <t>λ</t>
    </r>
    <r>
      <rPr>
        <b/>
        <vertAlign val="subscript"/>
        <sz val="11"/>
        <color theme="1"/>
        <rFont val="Calibri"/>
        <family val="2"/>
        <scheme val="minor"/>
      </rPr>
      <t>eq</t>
    </r>
    <r>
      <rPr>
        <b/>
        <sz val="11"/>
        <color theme="1"/>
        <rFont val="Calibri"/>
        <family val="2"/>
        <scheme val="minor"/>
      </rPr>
      <t xml:space="preserve">
</t>
    </r>
    <r>
      <rPr>
        <sz val="10"/>
        <color theme="1"/>
        <rFont val="Calibri"/>
        <family val="2"/>
        <scheme val="minor"/>
      </rPr>
      <t>[W/(mK)]</t>
    </r>
  </si>
  <si>
    <r>
      <t>R</t>
    </r>
    <r>
      <rPr>
        <b/>
        <vertAlign val="subscript"/>
        <sz val="11"/>
        <color theme="1"/>
        <rFont val="Calibri"/>
        <family val="2"/>
        <scheme val="minor"/>
      </rPr>
      <t>eq</t>
    </r>
    <r>
      <rPr>
        <b/>
        <sz val="11"/>
        <color theme="1"/>
        <rFont val="Calibri"/>
        <family val="2"/>
        <scheme val="minor"/>
      </rPr>
      <t xml:space="preserve">
</t>
    </r>
    <r>
      <rPr>
        <sz val="10"/>
        <color theme="1"/>
        <rFont val="Calibri"/>
        <family val="2"/>
        <scheme val="minor"/>
      </rPr>
      <t>[(m</t>
    </r>
    <r>
      <rPr>
        <vertAlign val="superscript"/>
        <sz val="10"/>
        <color theme="1"/>
        <rFont val="Calibri"/>
        <family val="2"/>
        <scheme val="minor"/>
      </rPr>
      <t>2</t>
    </r>
    <r>
      <rPr>
        <sz val="10"/>
        <color theme="1"/>
        <rFont val="Calibri"/>
        <family val="2"/>
        <scheme val="minor"/>
      </rPr>
      <t>K)/W]</t>
    </r>
  </si>
  <si>
    <t>z</t>
  </si>
  <si>
    <t>As,Zst</t>
  </si>
  <si>
    <t>E,Modul</t>
  </si>
  <si>
    <t>nS,DP</t>
  </si>
  <si>
    <t>nS,ø</t>
  </si>
  <si>
    <t>XK</t>
  </si>
  <si>
    <t>l0,D1</t>
  </si>
  <si>
    <t>l0,D2</t>
  </si>
  <si>
    <t>l0,D3</t>
  </si>
  <si>
    <t>ø,DP</t>
  </si>
  <si>
    <t>a,DP</t>
  </si>
  <si>
    <t>b,DP</t>
  </si>
  <si>
    <t>A,DP,pl</t>
  </si>
  <si>
    <t>fsd,DP</t>
  </si>
  <si>
    <t>fsd,k,DP</t>
  </si>
  <si>
    <t>E,DP</t>
  </si>
  <si>
    <t>fcd</t>
  </si>
  <si>
    <t>Ec</t>
  </si>
  <si>
    <t>FF</t>
  </si>
  <si>
    <t>MF</t>
  </si>
  <si>
    <t>σs,z</t>
  </si>
  <si>
    <t>εs,z</t>
  </si>
  <si>
    <t>l0,Zst</t>
  </si>
  <si>
    <t>σs,D1</t>
  </si>
  <si>
    <t>σs,D2</t>
  </si>
  <si>
    <t>σs,D3</t>
  </si>
  <si>
    <t>εs,D1</t>
  </si>
  <si>
    <t>εs,D2</t>
  </si>
  <si>
    <t>εs,D3</t>
  </si>
  <si>
    <t>Knickbeiwert Druckpuffer</t>
  </si>
  <si>
    <t>Δl,z</t>
  </si>
  <si>
    <t>Δl,d</t>
  </si>
  <si>
    <t>ϕZ,D,F</t>
  </si>
  <si>
    <t>kZD</t>
  </si>
  <si>
    <t>hz</t>
  </si>
  <si>
    <t>nSp</t>
  </si>
  <si>
    <t>E,SP</t>
  </si>
  <si>
    <t>øBg</t>
  </si>
  <si>
    <t>As,Bg</t>
  </si>
  <si>
    <t>As,Pl</t>
  </si>
  <si>
    <t>MS</t>
  </si>
  <si>
    <t>FS</t>
  </si>
  <si>
    <t>σs</t>
  </si>
  <si>
    <t>σd</t>
  </si>
  <si>
    <t>l0,s</t>
  </si>
  <si>
    <t>l0,z</t>
  </si>
  <si>
    <t>l0,c</t>
  </si>
  <si>
    <t>εz</t>
  </si>
  <si>
    <t>εc</t>
  </si>
  <si>
    <t>ϕSB</t>
  </si>
  <si>
    <t>kZSP</t>
  </si>
  <si>
    <t>kZtot</t>
  </si>
  <si>
    <t>TypPURIS.</t>
  </si>
  <si>
    <t>12</t>
  </si>
  <si>
    <t>KP-TypB</t>
  </si>
  <si>
    <t>KP-TypC</t>
  </si>
  <si>
    <t>KP-TypD</t>
  </si>
  <si>
    <t>KP-TypH</t>
  </si>
  <si>
    <t>KP-TypJ</t>
  </si>
  <si>
    <t>KP-TypK</t>
  </si>
  <si>
    <t>NRd-</t>
  </si>
  <si>
    <t>MRd-</t>
  </si>
  <si>
    <t>z-</t>
  </si>
  <si>
    <r>
      <t xml:space="preserve">S12 </t>
    </r>
    <r>
      <rPr>
        <sz val="8"/>
        <color theme="1"/>
        <rFont val="Calibri"/>
        <family val="2"/>
        <scheme val="minor"/>
      </rPr>
      <t>(8)</t>
    </r>
    <r>
      <rPr>
        <b/>
        <sz val="11"/>
        <color theme="1"/>
        <rFont val="Calibri"/>
        <family val="2"/>
        <scheme val="minor"/>
      </rPr>
      <t xml:space="preserve">
</t>
    </r>
    <r>
      <rPr>
        <sz val="11"/>
        <color theme="1"/>
        <rFont val="Calibri"/>
        <family val="2"/>
        <scheme val="minor"/>
      </rPr>
      <t>[mm]</t>
    </r>
  </si>
  <si>
    <t>TypH.</t>
  </si>
  <si>
    <t>TypJ.</t>
  </si>
  <si>
    <t>QD43</t>
  </si>
  <si>
    <t>QD43q</t>
  </si>
  <si>
    <t>QD51</t>
  </si>
  <si>
    <t>QD51q</t>
  </si>
  <si>
    <t>QD</t>
  </si>
  <si>
    <t>TypHA.</t>
  </si>
  <si>
    <t>TypJA.</t>
  </si>
  <si>
    <t>TypQD51D.</t>
  </si>
  <si>
    <t>TypQD43D.</t>
  </si>
  <si>
    <t>TypHIT.</t>
  </si>
  <si>
    <t>TypJIT.</t>
  </si>
  <si>
    <t>TypHIS.</t>
  </si>
  <si>
    <t>TypJIS.</t>
  </si>
  <si>
    <t>TypHSn.</t>
  </si>
  <si>
    <t>TypJSn.</t>
  </si>
  <si>
    <t>TypHSf.</t>
  </si>
  <si>
    <t>TypJSf.</t>
  </si>
  <si>
    <t>-1</t>
  </si>
  <si>
    <t>TypHS.</t>
  </si>
  <si>
    <t>TypJS.</t>
  </si>
  <si>
    <t>TypJOQ.</t>
  </si>
  <si>
    <t>TypHOQ.</t>
  </si>
  <si>
    <t>KP-Typ H / KP-Typ J</t>
  </si>
  <si>
    <t>KP-Typ H (2x12)</t>
  </si>
  <si>
    <t>KP-Typ J (3x14)</t>
  </si>
  <si>
    <t>k</t>
  </si>
  <si>
    <t>(2)</t>
  </si>
  <si>
    <t>hRd</t>
  </si>
  <si>
    <t>QD51Q</t>
  </si>
  <si>
    <t>λ,qd</t>
  </si>
  <si>
    <t>A,QD</t>
  </si>
  <si>
    <t>Querkraftdorne KP-Typ H/J</t>
  </si>
  <si>
    <t>Tabellennamen</t>
  </si>
  <si>
    <t>320</t>
  </si>
  <si>
    <t>350</t>
  </si>
  <si>
    <r>
      <t xml:space="preserve">N° liste*: </t>
    </r>
    <r>
      <rPr>
        <i/>
        <sz val="11"/>
        <color theme="1"/>
        <rFont val="Calibri"/>
        <family val="2"/>
        <scheme val="minor"/>
      </rPr>
      <t>(*obligatoire)</t>
    </r>
  </si>
  <si>
    <t>N° de plan:</t>
  </si>
  <si>
    <t>Dessiné:</t>
  </si>
  <si>
    <t>Date:</t>
  </si>
  <si>
    <t>Vérifié:</t>
  </si>
  <si>
    <t>Date de livraison :</t>
  </si>
  <si>
    <t>Bureau d'ingénieur*:</t>
  </si>
  <si>
    <t>Chantier*:</t>
  </si>
  <si>
    <t>Elément*:</t>
  </si>
  <si>
    <t>Interlocuteur chantier*:</t>
  </si>
  <si>
    <t>Téléphone chantier*:</t>
  </si>
  <si>
    <t>Entreprise de construction*:</t>
  </si>
  <si>
    <t>Adresse de livraison*:</t>
  </si>
  <si>
    <t>Remarques:</t>
  </si>
  <si>
    <t>N° objet RUWA:</t>
  </si>
  <si>
    <t>Tragwiderstände</t>
  </si>
  <si>
    <t>Bauphysik</t>
  </si>
  <si>
    <t>Drehfedersteifigkeit</t>
  </si>
  <si>
    <r>
      <t xml:space="preserve">Qté
</t>
    </r>
    <r>
      <rPr>
        <sz val="11"/>
        <color theme="1"/>
        <rFont val="Calibri"/>
        <family val="2"/>
        <scheme val="minor"/>
      </rPr>
      <t>[pcs]</t>
    </r>
  </si>
  <si>
    <t>Elément</t>
  </si>
  <si>
    <r>
      <t xml:space="preserve">Type-
élément </t>
    </r>
    <r>
      <rPr>
        <sz val="8"/>
        <color theme="1"/>
        <rFont val="Calibri"/>
        <family val="2"/>
        <scheme val="minor"/>
      </rPr>
      <t>(1)</t>
    </r>
  </si>
  <si>
    <t>Soustype</t>
  </si>
  <si>
    <r>
      <t xml:space="preserve">Réalisation </t>
    </r>
    <r>
      <rPr>
        <sz val="8"/>
        <color theme="1"/>
        <rFont val="Calibri"/>
        <family val="2"/>
        <scheme val="minor"/>
      </rPr>
      <t>(2)</t>
    </r>
  </si>
  <si>
    <r>
      <t xml:space="preserve">Qté barres
</t>
    </r>
    <r>
      <rPr>
        <sz val="8"/>
        <color theme="1"/>
        <rFont val="Calibri"/>
        <family val="2"/>
        <scheme val="minor"/>
      </rPr>
      <t>(3)</t>
    </r>
  </si>
  <si>
    <r>
      <t xml:space="preserve">Elém. de poussée 
nS </t>
    </r>
    <r>
      <rPr>
        <sz val="11"/>
        <color theme="1"/>
        <rFont val="Calibri"/>
        <family val="2"/>
        <scheme val="minor"/>
      </rPr>
      <t>[Stk]</t>
    </r>
  </si>
  <si>
    <r>
      <t xml:space="preserve">+ Doublage
 </t>
    </r>
    <r>
      <rPr>
        <sz val="8"/>
        <color theme="1"/>
        <rFont val="Calibri"/>
        <family val="2"/>
        <scheme val="minor"/>
      </rPr>
      <t>(5)</t>
    </r>
  </si>
  <si>
    <r>
      <t xml:space="preserve">Parasismique </t>
    </r>
    <r>
      <rPr>
        <sz val="8"/>
        <color theme="1"/>
        <rFont val="Calibri"/>
        <family val="2"/>
        <scheme val="minor"/>
      </rPr>
      <t>(9)</t>
    </r>
  </si>
  <si>
    <r>
      <t>Sans traverses de fer</t>
    </r>
    <r>
      <rPr>
        <sz val="8"/>
        <color theme="1"/>
        <rFont val="Calibri"/>
        <family val="2"/>
        <scheme val="minor"/>
      </rPr>
      <t xml:space="preserve"> (10)</t>
    </r>
  </si>
  <si>
    <r>
      <t>Entretoise</t>
    </r>
    <r>
      <rPr>
        <sz val="11"/>
        <color theme="1"/>
        <rFont val="Calibri"/>
        <family val="2"/>
        <scheme val="minor"/>
      </rPr>
      <t xml:space="preserve"> [mc]</t>
    </r>
    <r>
      <rPr>
        <sz val="8"/>
        <color theme="1"/>
        <rFont val="Calibri"/>
        <family val="2"/>
        <scheme val="minor"/>
      </rPr>
      <t xml:space="preserve"> (11)</t>
    </r>
  </si>
  <si>
    <t>Résistances par élément*</t>
  </si>
  <si>
    <t>Physique du bâtiment**</t>
  </si>
  <si>
    <r>
      <t>n</t>
    </r>
    <r>
      <rPr>
        <sz val="11"/>
        <color theme="1"/>
        <rFont val="Calibri"/>
        <family val="2"/>
        <scheme val="minor"/>
      </rPr>
      <t xml:space="preserve"> [pcs]</t>
    </r>
  </si>
  <si>
    <r>
      <t xml:space="preserve">Epais-seur
</t>
    </r>
    <r>
      <rPr>
        <sz val="11"/>
        <color theme="1"/>
        <rFont val="Calibri"/>
        <family val="2"/>
        <scheme val="minor"/>
      </rPr>
      <t>[mm]</t>
    </r>
  </si>
  <si>
    <r>
      <t xml:space="preserve">*Résistance minimale du béton C25/30. Les valeurs indiquées se rapportent à la capacité de charge des liaisons en porte-à-faux et sont sont valides lorsque la planification est conforme aux normes SIA ou aux Eurocodes en vigueur. La capacité de charge des éléments raccordés doit être vérifiée et garantie par l’ingénieur. La transmission des forces entre le raccord de dalles en porte-à-faux et l’élément en béton armé doit être assurée par une armature supplémentaire sur site.
**  Avec le KP-900 ou le KPE-900, les coefficients structurels-physiques sont réalisés sans tenir compte des barres de traction et de compression.
</t>
    </r>
    <r>
      <rPr>
        <i/>
        <sz val="9"/>
        <color theme="1"/>
        <rFont val="Calibri"/>
        <family val="2"/>
        <scheme val="minor"/>
      </rPr>
      <t xml:space="preserve">(Pour les types d'éléments définis à l'aide de soustypes, les champs facultatifs </t>
    </r>
    <r>
      <rPr>
        <b/>
        <i/>
        <sz val="9"/>
        <color theme="1"/>
        <rFont val="Calibri"/>
        <family val="2"/>
        <scheme val="minor"/>
      </rPr>
      <t>n, Ø + ns</t>
    </r>
    <r>
      <rPr>
        <i/>
        <sz val="9"/>
        <color theme="1"/>
        <rFont val="Calibri"/>
        <family val="2"/>
        <scheme val="minor"/>
      </rPr>
      <t xml:space="preserve"> doivent également être renseignés si les résistances à la charge, la résistance à la torsion et les coefficients physiques du bâtiment doivent être affichés.)</t>
    </r>
  </si>
  <si>
    <t>Champ obligatoire</t>
  </si>
  <si>
    <t>Choix libre</t>
  </si>
  <si>
    <t>Pas de libre choix</t>
  </si>
  <si>
    <t>POUR TOUTE QUESTION, CONTACTEZ NOS INGENIEURS.</t>
  </si>
  <si>
    <r>
      <t xml:space="preserve">Rigidités rotationnelles
</t>
    </r>
    <r>
      <rPr>
        <sz val="11"/>
        <color theme="1"/>
        <rFont val="Calibri"/>
        <family val="2"/>
        <scheme val="minor"/>
      </rPr>
      <t>[kNm/rad]</t>
    </r>
  </si>
  <si>
    <t>Total</t>
  </si>
  <si>
    <t>pcs</t>
  </si>
  <si>
    <t>Ordre de remplissage</t>
  </si>
  <si>
    <t>mc</t>
  </si>
  <si>
    <t>Entretoises total</t>
  </si>
  <si>
    <r>
      <t>D</t>
    </r>
    <r>
      <rPr>
        <b/>
        <vertAlign val="subscript"/>
        <sz val="11"/>
        <color theme="4"/>
        <rFont val="Calibri"/>
        <family val="2"/>
        <scheme val="minor"/>
      </rPr>
      <t>stand</t>
    </r>
  </si>
  <si>
    <t>ebea KP-800 / ebea KP-1000</t>
  </si>
  <si>
    <t>LÉGENDE</t>
  </si>
  <si>
    <r>
      <rPr>
        <b/>
        <sz val="10.5"/>
        <rFont val="Calibri"/>
        <family val="2"/>
        <scheme val="minor"/>
      </rPr>
      <t>EXPLICATIONS</t>
    </r>
    <r>
      <rPr>
        <sz val="10.5"/>
        <rFont val="Calibri"/>
        <family val="2"/>
        <scheme val="minor"/>
      </rPr>
      <t xml:space="preserve">
(1) KP-100: IO=30/IU=25, KPE-100: IO=45/IU=30, KP-200: IO=IU=30
      IO=recouvrement en haut, IU=recouvrement en bas
(2) Réalisation : Standard (soudage par friction 1.4362+B500B, champ vide); VE1 inox 1.4362; VE2 (inox 1.4462)
(3) Standard n=2 à 10, Ø=10 ou 14 mm, selon catalogue
(4) Hauteur élément standard selon catalogue et hauteur totale avec ev. doublage.
(5) Doublage: isolation supplémentaire en haut (+IO) et en bas (+IU)
(6) L</t>
    </r>
    <r>
      <rPr>
        <vertAlign val="subscript"/>
        <sz val="10.5"/>
        <rFont val="Calibri"/>
        <family val="2"/>
        <scheme val="minor"/>
      </rPr>
      <t xml:space="preserve">min </t>
    </r>
    <r>
      <rPr>
        <sz val="10.5"/>
        <rFont val="Calibri"/>
        <family val="2"/>
        <scheme val="minor"/>
      </rPr>
      <t>=Longueur minimale réalisable. 
(7) Possible: 100 (110)-430 mm
(8) Standard: Etrier ouvert. Si la cote S12 est spécifiée, la etrier est fermée des deux côtés: Possible: 100 (110)-430 mm.
(9) Standard : Plaque de poussée horizontale HH = 220 mm
(10) Sans traverses de fer: OQ
(11) Entretoise : définie selon type ISO, épaisseur ISO et hauteur ISO, unité de commande : pièces 1 m</t>
    </r>
  </si>
  <si>
    <t>FR
01-2023</t>
  </si>
  <si>
    <r>
      <rPr>
        <b/>
        <sz val="11"/>
        <color theme="1"/>
        <rFont val="Calibri"/>
        <family val="2"/>
        <scheme val="minor"/>
      </rPr>
      <t>RUWA Drahtschweisswerk AG</t>
    </r>
    <r>
      <rPr>
        <sz val="11"/>
        <color theme="1"/>
        <rFont val="Calibri"/>
        <family val="2"/>
        <charset val="238"/>
        <scheme val="minor"/>
      </rPr>
      <t xml:space="preserve">
Burghof 100
CH-3454 Sumiswald
Tel.  +41 34 432 35 35
Fax  +41 34 432 35 55
Web: www.ruwa-ag.ch
Demande prix: info@ruwa-ag.ch
Commande: verkauf@ruwa-ag.ch
Technique: technik@ruwa-ag.ch</t>
    </r>
  </si>
  <si>
    <t>Ds
Stand.</t>
  </si>
  <si>
    <t>Dt
/ Total</t>
  </si>
  <si>
    <t xml:space="preserve">Résistance
au feu </t>
  </si>
  <si>
    <t>Remarques /
Numéro de dessin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</si>
</sst>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quot;-&quot;#"/>
    <numFmt numFmtId="166" formatCode="&quot;(&quot;#&quot;)&quot;"/>
    <numFmt numFmtId="167" formatCode="#,##0.0"/>
    <numFmt numFmtId="168" formatCode="&quot;/&quot;\ 0.0"/>
    <numFmt numFmtId="169" formatCode="&quot;-&quot;0"/>
    <numFmt numFmtId="170" formatCode="\±#"/>
    <numFmt numFmtId="171" formatCode="0.0000"/>
    <numFmt numFmtId="172" formatCode="0.000"/>
    <numFmt numFmtId="173" formatCode="0.0"/>
  </numFmts>
  <fonts count="4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font>
    <font>
      <sz val="10"/>
      <color theme="1"/>
      <name val="Arial"/>
      <family val="2"/>
    </font>
    <font>
      <sz val="11"/>
      <color theme="1"/>
      <name val="Calibri"/>
      <family val="2"/>
      <scheme val="minor"/>
    </font>
    <font>
      <b/>
      <sz val="11"/>
      <color theme="1"/>
      <name val="Calibri"/>
      <family val="2"/>
      <scheme val="minor"/>
    </font>
    <font>
      <b/>
      <sz val="14"/>
      <color theme="1"/>
      <name val="Calibri"/>
      <family val="2"/>
      <scheme val="minor"/>
    </font>
    <font>
      <sz val="11"/>
      <color rgb="FF9C0006"/>
      <name val="Calibri"/>
      <family val="2"/>
      <charset val="238"/>
      <scheme val="minor"/>
    </font>
    <font>
      <sz val="11"/>
      <color rgb="FF9C6500"/>
      <name val="Calibri"/>
      <family val="2"/>
      <charset val="238"/>
      <scheme val="minor"/>
    </font>
    <font>
      <sz val="11"/>
      <color rgb="FF006100"/>
      <name val="Calibri"/>
      <family val="2"/>
      <charset val="238"/>
      <scheme val="minor"/>
    </font>
    <font>
      <b/>
      <sz val="11"/>
      <color theme="1"/>
      <name val="Calibri"/>
      <family val="2"/>
    </font>
    <font>
      <b/>
      <sz val="12"/>
      <color theme="1"/>
      <name val="Calibri"/>
      <family val="2"/>
      <scheme val="minor"/>
    </font>
    <font>
      <b/>
      <sz val="11"/>
      <color rgb="FFC00000"/>
      <name val="Calibri"/>
      <family val="2"/>
      <scheme val="minor"/>
    </font>
    <font>
      <sz val="8"/>
      <color theme="1"/>
      <name val="Calibri"/>
      <family val="2"/>
      <scheme val="minor"/>
    </font>
    <font>
      <sz val="9"/>
      <color indexed="81"/>
      <name val="Tahoma"/>
      <family val="2"/>
    </font>
    <font>
      <b/>
      <sz val="9"/>
      <color indexed="81"/>
      <name val="Tahoma"/>
      <family val="2"/>
    </font>
    <font>
      <b/>
      <sz val="11"/>
      <color theme="1"/>
      <name val="Calibri"/>
      <family val="2"/>
      <charset val="238"/>
      <scheme val="minor"/>
    </font>
    <font>
      <b/>
      <sz val="10"/>
      <color theme="1"/>
      <name val="Calibri"/>
      <family val="2"/>
      <scheme val="minor"/>
    </font>
    <font>
      <sz val="20"/>
      <color theme="1"/>
      <name val="DaxMedium"/>
    </font>
    <font>
      <b/>
      <sz val="13"/>
      <color rgb="FFC00000"/>
      <name val="Calibri"/>
      <family val="2"/>
      <scheme val="minor"/>
    </font>
    <font>
      <sz val="10.5"/>
      <color theme="1"/>
      <name val="Calibri"/>
      <family val="2"/>
      <scheme val="minor"/>
    </font>
    <font>
      <i/>
      <sz val="11"/>
      <color theme="1"/>
      <name val="Calibri"/>
      <family val="2"/>
      <scheme val="minor"/>
    </font>
    <font>
      <b/>
      <vertAlign val="subscript"/>
      <sz val="11"/>
      <color rgb="FFC00000"/>
      <name val="Calibri"/>
      <family val="2"/>
      <scheme val="minor"/>
    </font>
    <font>
      <b/>
      <sz val="15"/>
      <color rgb="FFC00000"/>
      <name val="Calibri"/>
      <family val="2"/>
      <scheme val="minor"/>
    </font>
    <font>
      <b/>
      <sz val="12"/>
      <color theme="1"/>
      <name val="Calibri"/>
      <family val="2"/>
    </font>
    <font>
      <b/>
      <sz val="11"/>
      <color rgb="FFC00000"/>
      <name val="Calibri"/>
      <family val="2"/>
    </font>
    <font>
      <b/>
      <vertAlign val="subscript"/>
      <sz val="11"/>
      <color theme="1"/>
      <name val="Calibri"/>
      <family val="2"/>
      <scheme val="minor"/>
    </font>
    <font>
      <sz val="11"/>
      <color theme="0" tint="-0.34998626667073579"/>
      <name val="Calibri"/>
      <family val="2"/>
      <charset val="238"/>
      <scheme val="minor"/>
    </font>
    <font>
      <sz val="10"/>
      <color theme="1"/>
      <name val="Calibri"/>
      <family val="2"/>
      <scheme val="minor"/>
    </font>
    <font>
      <sz val="11"/>
      <name val="Calibri"/>
      <family val="2"/>
      <scheme val="minor"/>
    </font>
    <font>
      <b/>
      <sz val="11"/>
      <name val="Calibri"/>
      <family val="2"/>
      <scheme val="minor"/>
    </font>
    <font>
      <b/>
      <sz val="10"/>
      <color theme="1"/>
      <name val="Arial"/>
      <family val="2"/>
    </font>
    <font>
      <b/>
      <sz val="8"/>
      <color theme="1"/>
      <name val="Arial"/>
      <family val="2"/>
    </font>
    <font>
      <sz val="10"/>
      <color theme="1"/>
      <name val="Calibri"/>
      <family val="2"/>
      <charset val="238"/>
      <scheme val="minor"/>
    </font>
    <font>
      <vertAlign val="superscript"/>
      <sz val="10"/>
      <color theme="1"/>
      <name val="Calibri"/>
      <family val="2"/>
      <scheme val="minor"/>
    </font>
    <font>
      <b/>
      <sz val="20"/>
      <color theme="1"/>
      <name val="Calibri"/>
      <family val="2"/>
      <scheme val="minor"/>
    </font>
    <font>
      <sz val="10"/>
      <name val="Arial"/>
      <family val="2"/>
    </font>
    <font>
      <b/>
      <sz val="10"/>
      <name val="Arial"/>
      <family val="2"/>
    </font>
    <font>
      <i/>
      <sz val="9"/>
      <color theme="1"/>
      <name val="Calibri"/>
      <family val="2"/>
      <scheme val="minor"/>
    </font>
    <font>
      <b/>
      <i/>
      <sz val="9"/>
      <color theme="1"/>
      <name val="Calibri"/>
      <family val="2"/>
      <scheme val="minor"/>
    </font>
    <font>
      <i/>
      <sz val="10.5"/>
      <name val="Calibri"/>
      <family val="2"/>
      <scheme val="minor"/>
    </font>
    <font>
      <sz val="10.5"/>
      <name val="Calibri"/>
      <family val="2"/>
      <scheme val="minor"/>
    </font>
    <font>
      <b/>
      <sz val="10.5"/>
      <name val="Calibri"/>
      <family val="2"/>
      <scheme val="minor"/>
    </font>
    <font>
      <vertAlign val="subscript"/>
      <sz val="10.5"/>
      <name val="Calibri"/>
      <family val="2"/>
      <scheme val="minor"/>
    </font>
    <font>
      <b/>
      <sz val="11"/>
      <color theme="4"/>
      <name val="Calibri"/>
      <family val="2"/>
      <scheme val="minor"/>
    </font>
    <font>
      <b/>
      <vertAlign val="subscript"/>
      <sz val="11"/>
      <color theme="4"/>
      <name val="Calibri"/>
      <family val="2"/>
      <scheme val="minor"/>
    </font>
    <font>
      <sz val="9"/>
      <color theme="1"/>
      <name val="Calibri"/>
      <family val="2"/>
      <charset val="238"/>
      <scheme val="minor"/>
    </font>
  </fonts>
  <fills count="21">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theme="4" tint="0.79998168889431442"/>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79998168889431442"/>
        <bgColor theme="4" tint="0.79998168889431442"/>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bottom style="thick">
        <color theme="0"/>
      </bottom>
      <diagonal/>
    </border>
    <border>
      <left/>
      <right/>
      <top/>
      <bottom style="hair">
        <color indexed="64"/>
      </bottom>
      <diagonal/>
    </border>
    <border>
      <left style="medium">
        <color theme="0"/>
      </left>
      <right/>
      <top style="medium">
        <color theme="0"/>
      </top>
      <bottom style="thin">
        <color auto="1"/>
      </bottom>
      <diagonal/>
    </border>
    <border>
      <left style="hair">
        <color indexed="64"/>
      </left>
      <right/>
      <top/>
      <bottom style="hair">
        <color indexed="64"/>
      </bottom>
      <diagonal/>
    </border>
    <border>
      <left style="medium">
        <color theme="0"/>
      </left>
      <right/>
      <top/>
      <bottom style="thin">
        <color auto="1"/>
      </bottom>
      <diagonal/>
    </border>
    <border>
      <left/>
      <right style="medium">
        <color theme="0"/>
      </right>
      <top/>
      <bottom style="thin">
        <color auto="1"/>
      </bottom>
      <diagonal/>
    </border>
    <border>
      <left/>
      <right/>
      <top style="medium">
        <color theme="0"/>
      </top>
      <bottom style="thin">
        <color auto="1"/>
      </bottom>
      <diagonal/>
    </border>
    <border>
      <left/>
      <right style="medium">
        <color theme="0"/>
      </right>
      <top style="medium">
        <color theme="0"/>
      </top>
      <bottom style="thin">
        <color auto="1"/>
      </bottom>
      <diagonal/>
    </border>
    <border>
      <left style="medium">
        <color theme="0"/>
      </left>
      <right style="medium">
        <color theme="0"/>
      </right>
      <top/>
      <bottom style="thin">
        <color auto="1"/>
      </bottom>
      <diagonal/>
    </border>
    <border>
      <left/>
      <right style="medium">
        <color theme="0"/>
      </right>
      <top/>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tint="-0.14996795556505021"/>
      </left>
      <right/>
      <top/>
      <bottom/>
      <diagonal/>
    </border>
    <border>
      <left style="medium">
        <color theme="0" tint="-0.14996795556505021"/>
      </left>
      <right/>
      <top/>
      <bottom style="thin">
        <color auto="1"/>
      </bottom>
      <diagonal/>
    </border>
    <border>
      <left/>
      <right style="medium">
        <color theme="0" tint="-0.14996795556505021"/>
      </right>
      <top/>
      <bottom/>
      <diagonal/>
    </border>
    <border>
      <left/>
      <right style="medium">
        <color theme="0" tint="-0.14996795556505021"/>
      </right>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style="hair">
        <color indexed="64"/>
      </right>
      <top/>
      <bottom/>
      <diagonal/>
    </border>
    <border>
      <left/>
      <right/>
      <top style="thick">
        <color theme="0"/>
      </top>
      <bottom style="thick">
        <color theme="0"/>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thin">
        <color auto="1"/>
      </bottom>
      <diagonal/>
    </border>
    <border>
      <left style="hair">
        <color auto="1"/>
      </left>
      <right style="hair">
        <color indexed="64"/>
      </right>
      <top style="thin">
        <color auto="1"/>
      </top>
      <bottom style="hair">
        <color indexed="64"/>
      </bottom>
      <diagonal/>
    </border>
    <border>
      <left style="hair">
        <color auto="1"/>
      </left>
      <right style="hair">
        <color indexed="64"/>
      </right>
      <top style="hair">
        <color indexed="64"/>
      </top>
      <bottom style="thin">
        <color indexed="64"/>
      </bottom>
      <diagonal/>
    </border>
    <border>
      <left/>
      <right style="medium">
        <color rgb="FFFFFFFF"/>
      </right>
      <top style="medium">
        <color rgb="FFFFFFFF"/>
      </top>
      <bottom style="thin">
        <color auto="1"/>
      </bottom>
      <diagonal/>
    </border>
    <border>
      <left style="medium">
        <color rgb="FFFFFFFF"/>
      </left>
      <right style="medium">
        <color rgb="FFFFFFFF"/>
      </right>
      <top style="medium">
        <color rgb="FFFFFFFF"/>
      </top>
      <bottom style="thin">
        <color auto="1"/>
      </bottom>
      <diagonal/>
    </border>
    <border>
      <left style="medium">
        <color rgb="FFFFFFFF"/>
      </left>
      <right/>
      <top style="medium">
        <color rgb="FFFFFFFF"/>
      </top>
      <bottom style="thin">
        <color auto="1"/>
      </bottom>
      <diagonal/>
    </border>
    <border>
      <left/>
      <right/>
      <top/>
      <bottom style="medium">
        <color rgb="FFFFFFFF"/>
      </bottom>
      <diagonal/>
    </border>
    <border>
      <left style="medium">
        <color theme="0" tint="-0.14996795556505021"/>
      </left>
      <right style="medium">
        <color theme="0" tint="-0.14993743705557422"/>
      </right>
      <top/>
      <bottom style="thin">
        <color auto="1"/>
      </bottom>
      <diagonal/>
    </border>
    <border>
      <left style="medium">
        <color theme="0" tint="-0.14996795556505021"/>
      </left>
      <right style="medium">
        <color theme="0" tint="-0.14993743705557422"/>
      </right>
      <top/>
      <bottom/>
      <diagonal/>
    </border>
    <border>
      <left/>
      <right style="medium">
        <color theme="0" tint="-4.9989318521683403E-2"/>
      </right>
      <top/>
      <bottom style="medium">
        <color theme="0" tint="-4.9989318521683403E-2"/>
      </bottom>
      <diagonal/>
    </border>
    <border>
      <left style="medium">
        <color theme="0" tint="-4.9989318521683403E-2"/>
      </left>
      <right/>
      <top/>
      <bottom style="medium">
        <color theme="0" tint="-4.9989318521683403E-2"/>
      </bottom>
      <diagonal/>
    </border>
    <border>
      <left/>
      <right style="medium">
        <color theme="0" tint="-4.9989318521683403E-2"/>
      </right>
      <top style="medium">
        <color theme="0" tint="-4.9989318521683403E-2"/>
      </top>
      <bottom style="thin">
        <color auto="1"/>
      </bottom>
      <diagonal/>
    </border>
    <border>
      <left style="medium">
        <color theme="0" tint="-4.9989318521683403E-2"/>
      </left>
      <right/>
      <top style="medium">
        <color theme="0" tint="-4.9989318521683403E-2"/>
      </top>
      <bottom style="thin">
        <color auto="1"/>
      </bottom>
      <diagonal/>
    </border>
    <border>
      <left style="medium">
        <color theme="0" tint="-0.14993743705557422"/>
      </left>
      <right style="medium">
        <color theme="0" tint="-0.14996795556505021"/>
      </right>
      <top/>
      <bottom style="thin">
        <color auto="1"/>
      </bottom>
      <diagonal/>
    </border>
    <border>
      <left style="thin">
        <color indexed="64"/>
      </left>
      <right style="medium">
        <color theme="0" tint="-0.14993743705557422"/>
      </right>
      <top/>
      <bottom/>
      <diagonal/>
    </border>
    <border>
      <left style="thin">
        <color indexed="64"/>
      </left>
      <right style="hair">
        <color indexed="64"/>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medium">
        <color theme="0" tint="-0.14993743705557422"/>
      </left>
      <right style="medium">
        <color theme="0" tint="-0.14996795556505021"/>
      </right>
      <top/>
      <bottom/>
      <diagonal/>
    </border>
    <border>
      <left style="thin">
        <color theme="4" tint="0.39997558519241921"/>
      </left>
      <right style="thin">
        <color theme="4" tint="0.39997558519241921"/>
      </right>
      <top style="thin">
        <color theme="4" tint="0.39997558519241921"/>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diagonal/>
    </border>
  </borders>
  <cellStyleXfs count="6">
    <xf numFmtId="0" fontId="0"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37" fillId="0" borderId="0"/>
    <xf numFmtId="0" fontId="4" fillId="0" borderId="0"/>
  </cellStyleXfs>
  <cellXfs count="506">
    <xf numFmtId="0" fontId="0" fillId="0" borderId="0" xfId="0"/>
    <xf numFmtId="0" fontId="6" fillId="0" borderId="0" xfId="0" applyFont="1" applyAlignment="1">
      <alignment horizontal="center"/>
    </xf>
    <xf numFmtId="49" fontId="0" fillId="0" borderId="0" xfId="0" applyNumberFormat="1" applyAlignment="1">
      <alignment horizontal="center"/>
    </xf>
    <xf numFmtId="16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Protection="1"/>
    <xf numFmtId="0" fontId="7" fillId="0" borderId="0" xfId="0" applyFont="1" applyBorder="1" applyAlignment="1" applyProtection="1">
      <alignment vertical="center"/>
    </xf>
    <xf numFmtId="0" fontId="0" fillId="0" borderId="0" xfId="0" applyFill="1" applyProtection="1"/>
    <xf numFmtId="0" fontId="6" fillId="0" borderId="0" xfId="0" applyFont="1" applyFill="1" applyProtection="1"/>
    <xf numFmtId="0" fontId="0" fillId="0" borderId="0" xfId="0" applyFill="1" applyBorder="1" applyAlignment="1" applyProtection="1">
      <alignment horizontal="center"/>
    </xf>
    <xf numFmtId="49" fontId="0" fillId="5" borderId="26" xfId="0" applyNumberFormat="1" applyFill="1" applyBorder="1" applyAlignment="1" applyProtection="1">
      <alignment horizontal="center" vertical="center"/>
      <protection locked="0"/>
    </xf>
    <xf numFmtId="0" fontId="0" fillId="0" borderId="0" xfId="0" applyAlignment="1">
      <alignment horizontal="center"/>
    </xf>
    <xf numFmtId="167" fontId="0" fillId="0" borderId="12" xfId="0" applyNumberFormat="1" applyBorder="1" applyAlignment="1" applyProtection="1">
      <alignment horizontal="center" vertical="center"/>
      <protection locked="0"/>
    </xf>
    <xf numFmtId="164" fontId="0" fillId="5" borderId="11" xfId="0" applyNumberFormat="1" applyFill="1" applyBorder="1" applyAlignment="1" applyProtection="1">
      <alignment horizontal="center" vertical="center"/>
    </xf>
    <xf numFmtId="0" fontId="18" fillId="0" borderId="0" xfId="0" applyFont="1" applyFill="1" applyBorder="1" applyAlignment="1" applyProtection="1"/>
    <xf numFmtId="0" fontId="13" fillId="0" borderId="0" xfId="0" applyFont="1" applyAlignment="1" applyProtection="1">
      <alignment vertical="center"/>
    </xf>
    <xf numFmtId="0" fontId="6" fillId="0" borderId="0" xfId="0" applyFont="1" applyFill="1" applyBorder="1" applyAlignment="1" applyProtection="1">
      <alignment vertical="top" wrapText="1"/>
    </xf>
    <xf numFmtId="0" fontId="0" fillId="0" borderId="48" xfId="0" applyFill="1" applyBorder="1" applyProtection="1"/>
    <xf numFmtId="0" fontId="0" fillId="0" borderId="48" xfId="0" applyFill="1" applyBorder="1" applyAlignment="1" applyProtection="1">
      <alignment vertical="center"/>
    </xf>
    <xf numFmtId="49" fontId="0" fillId="0" borderId="0" xfId="0" applyNumberFormat="1"/>
    <xf numFmtId="49" fontId="0" fillId="0" borderId="54" xfId="0" applyNumberFormat="1" applyBorder="1" applyAlignment="1">
      <alignment horizontal="center" vertical="center"/>
    </xf>
    <xf numFmtId="49" fontId="0" fillId="0" borderId="55" xfId="0" applyNumberFormat="1" applyBorder="1" applyAlignment="1">
      <alignment horizontal="center"/>
    </xf>
    <xf numFmtId="49" fontId="0" fillId="0" borderId="54" xfId="0" applyNumberFormat="1" applyBorder="1" applyAlignment="1">
      <alignment horizontal="center"/>
    </xf>
    <xf numFmtId="49" fontId="0" fillId="0" borderId="56" xfId="0" applyNumberFormat="1" applyBorder="1" applyAlignment="1">
      <alignment horizontal="center"/>
    </xf>
    <xf numFmtId="49" fontId="0" fillId="0" borderId="57" xfId="0" applyNumberFormat="1" applyBorder="1" applyAlignment="1">
      <alignment horizontal="center"/>
    </xf>
    <xf numFmtId="49" fontId="0" fillId="0" borderId="63" xfId="0" applyNumberFormat="1" applyBorder="1" applyAlignment="1">
      <alignment horizontal="center"/>
    </xf>
    <xf numFmtId="49" fontId="0" fillId="0" borderId="64" xfId="0" applyNumberFormat="1" applyBorder="1" applyAlignment="1">
      <alignment horizontal="center"/>
    </xf>
    <xf numFmtId="0" fontId="18" fillId="0" borderId="0" xfId="0" applyFont="1" applyFill="1" applyBorder="1" applyAlignment="1" applyProtection="1">
      <alignment vertical="center"/>
    </xf>
    <xf numFmtId="0" fontId="12" fillId="0" borderId="65" xfId="0" applyFont="1" applyFill="1" applyBorder="1" applyAlignment="1" applyProtection="1"/>
    <xf numFmtId="0" fontId="20" fillId="0" borderId="0" xfId="0" applyFont="1" applyBorder="1" applyAlignment="1" applyProtection="1">
      <alignment vertical="center"/>
    </xf>
    <xf numFmtId="0" fontId="20" fillId="0" borderId="65" xfId="0" applyFont="1" applyBorder="1" applyAlignment="1" applyProtection="1">
      <alignment vertical="center" wrapText="1"/>
    </xf>
    <xf numFmtId="0" fontId="20" fillId="0" borderId="10" xfId="0" applyFont="1" applyBorder="1" applyAlignment="1" applyProtection="1">
      <alignment vertical="center"/>
    </xf>
    <xf numFmtId="0" fontId="20" fillId="0" borderId="67" xfId="0" applyFont="1" applyBorder="1" applyAlignment="1" applyProtection="1">
      <alignment vertical="center" wrapText="1"/>
    </xf>
    <xf numFmtId="49" fontId="0" fillId="0" borderId="6" xfId="0" applyNumberFormat="1" applyBorder="1" applyAlignment="1">
      <alignment horizontal="center"/>
    </xf>
    <xf numFmtId="49" fontId="0" fillId="0" borderId="0" xfId="0" applyNumberFormat="1" applyBorder="1" applyAlignment="1">
      <alignment horizontal="center"/>
    </xf>
    <xf numFmtId="49" fontId="0" fillId="0" borderId="10" xfId="0" applyNumberFormat="1" applyBorder="1" applyAlignment="1">
      <alignment horizontal="center"/>
    </xf>
    <xf numFmtId="49" fontId="0" fillId="0" borderId="7" xfId="0" applyNumberFormat="1" applyBorder="1" applyAlignment="1">
      <alignment horizontal="center"/>
    </xf>
    <xf numFmtId="49" fontId="0" fillId="0" borderId="2" xfId="0" applyNumberFormat="1" applyBorder="1" applyAlignment="1">
      <alignment horizontal="center"/>
    </xf>
    <xf numFmtId="0" fontId="24" fillId="0" borderId="0" xfId="0" applyFont="1" applyFill="1" applyBorder="1" applyAlignment="1">
      <alignment horizontal="center" vertical="center"/>
    </xf>
    <xf numFmtId="49" fontId="0" fillId="0" borderId="0" xfId="0" applyNumberFormat="1" applyFill="1"/>
    <xf numFmtId="0" fontId="24" fillId="0" borderId="65" xfId="0" applyFont="1" applyFill="1" applyBorder="1" applyAlignment="1">
      <alignment horizontal="center" vertical="center"/>
    </xf>
    <xf numFmtId="0" fontId="0" fillId="0" borderId="0" xfId="0" applyFill="1"/>
    <xf numFmtId="49" fontId="0" fillId="0" borderId="0" xfId="0" applyNumberFormat="1" applyFill="1" applyAlignment="1">
      <alignment horizontal="left"/>
    </xf>
    <xf numFmtId="49" fontId="0" fillId="0" borderId="0" xfId="0" applyNumberFormat="1" applyFill="1" applyAlignment="1">
      <alignment horizontal="center"/>
    </xf>
    <xf numFmtId="49" fontId="0" fillId="0" borderId="0" xfId="0" applyNumberFormat="1" applyAlignment="1">
      <alignment horizontal="right" indent="1"/>
    </xf>
    <xf numFmtId="49" fontId="6" fillId="6" borderId="61" xfId="0" applyNumberFormat="1" applyFont="1" applyFill="1" applyBorder="1" applyAlignment="1">
      <alignment horizontal="center"/>
    </xf>
    <xf numFmtId="49" fontId="6" fillId="6" borderId="53" xfId="0" applyNumberFormat="1" applyFont="1" applyFill="1" applyBorder="1" applyAlignment="1">
      <alignment horizontal="center"/>
    </xf>
    <xf numFmtId="49" fontId="6" fillId="6" borderId="62" xfId="0" applyNumberFormat="1" applyFont="1" applyFill="1" applyBorder="1" applyAlignment="1">
      <alignment horizontal="center"/>
    </xf>
    <xf numFmtId="0" fontId="6" fillId="6" borderId="1" xfId="0" applyFont="1" applyFill="1" applyBorder="1" applyAlignment="1">
      <alignment horizontal="center"/>
    </xf>
    <xf numFmtId="49" fontId="6" fillId="6" borderId="7" xfId="0" applyNumberFormat="1" applyFont="1" applyFill="1" applyBorder="1" applyAlignment="1">
      <alignment horizontal="center"/>
    </xf>
    <xf numFmtId="49" fontId="6" fillId="6" borderId="63" xfId="0" applyNumberFormat="1" applyFont="1" applyFill="1" applyBorder="1" applyAlignment="1">
      <alignment horizontal="center"/>
    </xf>
    <xf numFmtId="49" fontId="6" fillId="6" borderId="2" xfId="0" applyNumberFormat="1" applyFont="1" applyFill="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49" fontId="0" fillId="0" borderId="0" xfId="0" applyNumberFormat="1" applyBorder="1"/>
    <xf numFmtId="49" fontId="0" fillId="0" borderId="0" xfId="0" applyNumberFormat="1" applyAlignment="1">
      <alignment vertical="top" wrapText="1"/>
    </xf>
    <xf numFmtId="49" fontId="6" fillId="0" borderId="1" xfId="0" applyNumberFormat="1" applyFont="1" applyBorder="1" applyAlignment="1">
      <alignment horizontal="center"/>
    </xf>
    <xf numFmtId="165" fontId="0" fillId="0" borderId="0" xfId="0" applyNumberFormat="1" applyAlignment="1">
      <alignment horizontal="center"/>
    </xf>
    <xf numFmtId="49" fontId="0" fillId="0" borderId="65" xfId="0" applyNumberFormat="1" applyBorder="1" applyAlignment="1">
      <alignment horizontal="center"/>
    </xf>
    <xf numFmtId="49" fontId="0" fillId="0" borderId="67" xfId="0" applyNumberFormat="1" applyBorder="1" applyAlignment="1">
      <alignment horizontal="center"/>
    </xf>
    <xf numFmtId="49" fontId="6" fillId="0" borderId="63" xfId="0" applyNumberFormat="1" applyFont="1" applyBorder="1" applyAlignment="1">
      <alignment horizontal="center"/>
    </xf>
    <xf numFmtId="49" fontId="6" fillId="0" borderId="2" xfId="0" applyNumberFormat="1" applyFont="1" applyBorder="1" applyAlignment="1">
      <alignment horizontal="center"/>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49" fontId="13" fillId="0" borderId="1" xfId="0" applyNumberFormat="1" applyFont="1" applyBorder="1" applyAlignment="1">
      <alignment horizontal="center"/>
    </xf>
    <xf numFmtId="49" fontId="26" fillId="0" borderId="1" xfId="0" applyNumberFormat="1" applyFont="1" applyBorder="1" applyAlignment="1">
      <alignment horizontal="center"/>
    </xf>
    <xf numFmtId="165" fontId="0" fillId="0" borderId="0" xfId="0" applyNumberFormat="1" applyBorder="1" applyAlignment="1">
      <alignment horizontal="center"/>
    </xf>
    <xf numFmtId="165" fontId="0" fillId="0" borderId="65" xfId="0" applyNumberFormat="1" applyBorder="1" applyAlignment="1">
      <alignment horizontal="center"/>
    </xf>
    <xf numFmtId="49" fontId="0" fillId="0" borderId="0" xfId="0" applyNumberFormat="1" applyAlignment="1">
      <alignment vertical="top"/>
    </xf>
    <xf numFmtId="0" fontId="28" fillId="5" borderId="12" xfId="0" applyNumberFormat="1" applyFont="1" applyFill="1" applyBorder="1" applyAlignment="1" applyProtection="1">
      <alignment horizontal="center" vertical="center"/>
    </xf>
    <xf numFmtId="49" fontId="0" fillId="0" borderId="0" xfId="0" applyNumberFormat="1"/>
    <xf numFmtId="0" fontId="6" fillId="6" borderId="72" xfId="0" applyFont="1" applyFill="1" applyBorder="1" applyAlignment="1" applyProtection="1">
      <alignment horizontal="center" vertical="center" wrapText="1"/>
    </xf>
    <xf numFmtId="0" fontId="6" fillId="6" borderId="73" xfId="0" applyFont="1" applyFill="1" applyBorder="1" applyAlignment="1" applyProtection="1">
      <alignment horizontal="center" vertical="center" wrapText="1"/>
    </xf>
    <xf numFmtId="0" fontId="6" fillId="6" borderId="74" xfId="0" applyFont="1" applyFill="1" applyBorder="1" applyAlignment="1" applyProtection="1">
      <alignment horizontal="center" vertical="center" wrapText="1"/>
    </xf>
    <xf numFmtId="0" fontId="0" fillId="0" borderId="0" xfId="0" applyNumberFormat="1" applyFill="1" applyProtection="1"/>
    <xf numFmtId="0" fontId="0" fillId="0" borderId="0" xfId="0" applyFill="1" applyAlignment="1" applyProtection="1">
      <alignment horizontal="center"/>
    </xf>
    <xf numFmtId="0" fontId="0" fillId="10" borderId="70" xfId="0" applyFill="1" applyBorder="1" applyAlignment="1" applyProtection="1">
      <alignment horizontal="center"/>
    </xf>
    <xf numFmtId="0" fontId="0" fillId="10" borderId="12" xfId="0" applyFill="1" applyBorder="1" applyAlignment="1" applyProtection="1">
      <alignment horizontal="center"/>
    </xf>
    <xf numFmtId="0" fontId="0" fillId="0" borderId="1" xfId="0" applyBorder="1" applyAlignment="1">
      <alignment horizontal="center"/>
    </xf>
    <xf numFmtId="0" fontId="0" fillId="0" borderId="1" xfId="0" applyNumberFormat="1" applyBorder="1" applyAlignment="1">
      <alignment horizontal="center"/>
    </xf>
    <xf numFmtId="0" fontId="0" fillId="11" borderId="70" xfId="0" applyNumberFormat="1" applyFill="1" applyBorder="1" applyAlignment="1" applyProtection="1">
      <alignment horizontal="center"/>
    </xf>
    <xf numFmtId="2" fontId="0" fillId="11" borderId="70" xfId="0" applyNumberFormat="1" applyFill="1" applyBorder="1" applyAlignment="1" applyProtection="1">
      <alignment horizontal="center"/>
    </xf>
    <xf numFmtId="2" fontId="0" fillId="11" borderId="12" xfId="0" applyNumberFormat="1" applyFill="1" applyBorder="1" applyAlignment="1" applyProtection="1">
      <alignment horizontal="center"/>
    </xf>
    <xf numFmtId="0" fontId="5" fillId="0" borderId="1" xfId="0" applyFont="1" applyBorder="1" applyAlignment="1">
      <alignment horizontal="center"/>
    </xf>
    <xf numFmtId="49" fontId="5" fillId="0" borderId="1" xfId="0" applyNumberFormat="1" applyFont="1" applyBorder="1" applyAlignment="1">
      <alignment horizontal="center"/>
    </xf>
    <xf numFmtId="1" fontId="0" fillId="0" borderId="0" xfId="0" applyNumberFormat="1" applyAlignment="1">
      <alignment horizontal="center"/>
    </xf>
    <xf numFmtId="0" fontId="0" fillId="0" borderId="0" xfId="0" applyBorder="1" applyAlignment="1">
      <alignment horizontal="center"/>
    </xf>
    <xf numFmtId="0" fontId="0" fillId="0" borderId="1" xfId="0" applyFill="1" applyBorder="1" applyAlignment="1">
      <alignment horizontal="center"/>
    </xf>
    <xf numFmtId="1" fontId="0" fillId="0" borderId="1" xfId="0" applyNumberFormat="1" applyFill="1" applyBorder="1" applyAlignment="1">
      <alignment horizontal="center"/>
    </xf>
    <xf numFmtId="0" fontId="6" fillId="0" borderId="1" xfId="0" quotePrefix="1" applyFont="1" applyFill="1" applyBorder="1" applyAlignment="1">
      <alignment horizontal="center"/>
    </xf>
    <xf numFmtId="49" fontId="13" fillId="6" borderId="1" xfId="0" applyNumberFormat="1" applyFont="1" applyFill="1" applyBorder="1" applyAlignment="1">
      <alignment horizontal="center"/>
    </xf>
    <xf numFmtId="49" fontId="6" fillId="6" borderId="1" xfId="0" applyNumberFormat="1" applyFont="1" applyFill="1" applyBorder="1" applyAlignment="1">
      <alignment horizontal="center"/>
    </xf>
    <xf numFmtId="0" fontId="30" fillId="6" borderId="1" xfId="0" applyFont="1" applyFill="1" applyBorder="1" applyAlignment="1">
      <alignment horizontal="center"/>
    </xf>
    <xf numFmtId="0" fontId="5" fillId="6" borderId="1" xfId="0" applyFont="1" applyFill="1" applyBorder="1" applyAlignment="1">
      <alignment horizontal="center"/>
    </xf>
    <xf numFmtId="49" fontId="31" fillId="6" borderId="1" xfId="0" applyNumberFormat="1" applyFont="1" applyFill="1" applyBorder="1" applyAlignment="1">
      <alignment horizontal="center"/>
    </xf>
    <xf numFmtId="0" fontId="31" fillId="6" borderId="1" xfId="0" applyFont="1" applyFill="1" applyBorder="1" applyAlignment="1">
      <alignment horizontal="center"/>
    </xf>
    <xf numFmtId="0" fontId="0" fillId="6" borderId="1" xfId="0" applyFill="1" applyBorder="1" applyAlignment="1">
      <alignment horizontal="center"/>
    </xf>
    <xf numFmtId="1" fontId="0" fillId="0" borderId="0" xfId="0" applyNumberFormat="1" applyFill="1" applyAlignment="1" applyProtection="1">
      <alignment horizontal="center"/>
    </xf>
    <xf numFmtId="169" fontId="0" fillId="0" borderId="70" xfId="0" applyNumberFormat="1" applyFill="1" applyBorder="1" applyAlignment="1" applyProtection="1">
      <alignment horizontal="center" vertical="center"/>
    </xf>
    <xf numFmtId="0" fontId="0" fillId="9" borderId="70" xfId="0" applyFill="1" applyBorder="1" applyAlignment="1" applyProtection="1">
      <alignment horizontal="center"/>
    </xf>
    <xf numFmtId="1" fontId="0" fillId="9" borderId="70" xfId="0" applyNumberFormat="1" applyFill="1" applyBorder="1" applyAlignment="1" applyProtection="1">
      <alignment horizontal="center"/>
    </xf>
    <xf numFmtId="0" fontId="0" fillId="9" borderId="12" xfId="0" applyFill="1" applyBorder="1" applyAlignment="1" applyProtection="1">
      <alignment horizontal="center"/>
    </xf>
    <xf numFmtId="1" fontId="0" fillId="9" borderId="12" xfId="0" applyNumberFormat="1" applyFill="1" applyBorder="1" applyAlignment="1" applyProtection="1">
      <alignment horizontal="center"/>
    </xf>
    <xf numFmtId="2" fontId="0" fillId="0" borderId="1" xfId="0" applyNumberFormat="1" applyFill="1" applyBorder="1" applyAlignment="1">
      <alignment horizontal="center"/>
    </xf>
    <xf numFmtId="0" fontId="6" fillId="6" borderId="1" xfId="0" quotePrefix="1" applyFont="1" applyFill="1" applyBorder="1" applyAlignment="1">
      <alignment horizontal="center"/>
    </xf>
    <xf numFmtId="0" fontId="0" fillId="0" borderId="0" xfId="0" applyFill="1" applyAlignment="1">
      <alignment horizontal="center"/>
    </xf>
    <xf numFmtId="49" fontId="5" fillId="6" borderId="1" xfId="0" applyNumberFormat="1" applyFont="1" applyFill="1" applyBorder="1" applyAlignment="1">
      <alignment horizontal="center"/>
    </xf>
    <xf numFmtId="49" fontId="0" fillId="12" borderId="70" xfId="0" applyNumberFormat="1" applyFill="1" applyBorder="1" applyAlignment="1" applyProtection="1">
      <alignment horizontal="center"/>
    </xf>
    <xf numFmtId="0" fontId="0" fillId="12" borderId="70" xfId="0" applyNumberFormat="1" applyFill="1" applyBorder="1" applyAlignment="1" applyProtection="1">
      <alignment horizontal="center"/>
    </xf>
    <xf numFmtId="0" fontId="0" fillId="0" borderId="10" xfId="0" applyBorder="1"/>
    <xf numFmtId="0" fontId="6" fillId="6" borderId="1" xfId="0" applyNumberFormat="1" applyFont="1" applyFill="1" applyBorder="1" applyAlignment="1">
      <alignment horizontal="center"/>
    </xf>
    <xf numFmtId="0" fontId="6" fillId="6" borderId="1" xfId="0" quotePrefix="1" applyNumberFormat="1" applyFont="1" applyFill="1" applyBorder="1" applyAlignment="1">
      <alignment horizontal="center"/>
    </xf>
    <xf numFmtId="0" fontId="0" fillId="0" borderId="1" xfId="0" applyNumberFormat="1" applyFill="1" applyBorder="1" applyAlignment="1">
      <alignment horizontal="center"/>
    </xf>
    <xf numFmtId="2" fontId="0" fillId="9" borderId="70" xfId="0" applyNumberFormat="1" applyFill="1" applyBorder="1" applyAlignment="1" applyProtection="1">
      <alignment horizontal="center"/>
    </xf>
    <xf numFmtId="0" fontId="0" fillId="0" borderId="0" xfId="0" applyNumberFormat="1" applyAlignment="1">
      <alignment horizontal="center"/>
    </xf>
    <xf numFmtId="2" fontId="0" fillId="9" borderId="12" xfId="0" applyNumberFormat="1" applyFill="1" applyBorder="1" applyAlignment="1" applyProtection="1">
      <alignment horizontal="center"/>
    </xf>
    <xf numFmtId="17" fontId="6" fillId="6" borderId="1" xfId="0" applyNumberFormat="1" applyFont="1" applyFill="1" applyBorder="1" applyAlignment="1">
      <alignment horizontal="center"/>
    </xf>
    <xf numFmtId="0" fontId="0" fillId="12" borderId="12" xfId="0" applyNumberFormat="1" applyFill="1" applyBorder="1" applyAlignment="1" applyProtection="1">
      <alignment horizontal="center"/>
    </xf>
    <xf numFmtId="49" fontId="0" fillId="12" borderId="12" xfId="0" applyNumberFormat="1" applyFill="1" applyBorder="1" applyAlignment="1" applyProtection="1">
      <alignment horizontal="center"/>
    </xf>
    <xf numFmtId="2" fontId="0" fillId="0" borderId="1" xfId="0" applyNumberFormat="1" applyBorder="1" applyAlignment="1">
      <alignment horizontal="center"/>
    </xf>
    <xf numFmtId="0" fontId="6" fillId="0" borderId="1" xfId="0" quotePrefix="1" applyFont="1" applyBorder="1" applyAlignment="1">
      <alignment horizontal="center"/>
    </xf>
    <xf numFmtId="2" fontId="0" fillId="12" borderId="70" xfId="0" applyNumberFormat="1" applyFill="1" applyBorder="1" applyAlignment="1" applyProtection="1">
      <alignment horizontal="center"/>
    </xf>
    <xf numFmtId="2" fontId="0" fillId="12" borderId="12" xfId="0" applyNumberFormat="1" applyFill="1" applyBorder="1" applyAlignment="1" applyProtection="1">
      <alignment horizontal="center"/>
    </xf>
    <xf numFmtId="49" fontId="6" fillId="0" borderId="1" xfId="0" quotePrefix="1" applyNumberFormat="1" applyFont="1" applyBorder="1" applyAlignment="1">
      <alignment horizontal="center"/>
    </xf>
    <xf numFmtId="49" fontId="6" fillId="0" borderId="1" xfId="0" quotePrefix="1" applyNumberFormat="1" applyFont="1" applyFill="1" applyBorder="1" applyAlignment="1">
      <alignment horizontal="center"/>
    </xf>
    <xf numFmtId="0" fontId="0" fillId="0" borderId="70" xfId="0" applyFont="1" applyBorder="1" applyAlignment="1" applyProtection="1">
      <alignment horizontal="center"/>
    </xf>
    <xf numFmtId="1" fontId="0" fillId="0" borderId="70" xfId="0" applyNumberFormat="1" applyFont="1" applyFill="1" applyBorder="1" applyAlignment="1" applyProtection="1">
      <alignment horizontal="center"/>
    </xf>
    <xf numFmtId="170" fontId="0" fillId="0" borderId="70" xfId="0" applyNumberFormat="1" applyFont="1" applyFill="1" applyBorder="1" applyAlignment="1" applyProtection="1">
      <alignment horizontal="center"/>
    </xf>
    <xf numFmtId="0" fontId="0" fillId="0" borderId="12" xfId="0" applyFont="1" applyBorder="1" applyAlignment="1" applyProtection="1">
      <alignment horizontal="center"/>
    </xf>
    <xf numFmtId="1" fontId="0" fillId="0" borderId="12" xfId="0" applyNumberFormat="1" applyFont="1" applyFill="1" applyBorder="1" applyAlignment="1" applyProtection="1">
      <alignment horizontal="center"/>
    </xf>
    <xf numFmtId="170" fontId="0" fillId="0" borderId="12" xfId="0" applyNumberFormat="1" applyFont="1" applyFill="1" applyBorder="1" applyAlignment="1" applyProtection="1">
      <alignment horizontal="center"/>
    </xf>
    <xf numFmtId="0" fontId="0" fillId="0" borderId="71" xfId="0" applyFont="1" applyBorder="1" applyAlignment="1" applyProtection="1">
      <alignment horizontal="center"/>
    </xf>
    <xf numFmtId="1" fontId="0" fillId="0" borderId="71" xfId="0" applyNumberFormat="1" applyFont="1" applyFill="1" applyBorder="1" applyAlignment="1" applyProtection="1">
      <alignment horizontal="center"/>
    </xf>
    <xf numFmtId="170" fontId="0" fillId="0" borderId="71" xfId="0" applyNumberFormat="1" applyFont="1" applyFill="1" applyBorder="1" applyAlignment="1" applyProtection="1">
      <alignment horizontal="center"/>
    </xf>
    <xf numFmtId="0" fontId="34" fillId="0" borderId="0" xfId="0" applyFont="1" applyFill="1" applyProtection="1"/>
    <xf numFmtId="0" fontId="6" fillId="6" borderId="1" xfId="0" applyFont="1" applyFill="1" applyBorder="1" applyAlignment="1">
      <alignment horizontal="center"/>
    </xf>
    <xf numFmtId="170" fontId="0" fillId="0" borderId="0" xfId="0" applyNumberFormat="1" applyFont="1" applyFill="1" applyBorder="1" applyAlignment="1" applyProtection="1">
      <alignment horizontal="center"/>
    </xf>
    <xf numFmtId="0" fontId="0" fillId="0" borderId="0" xfId="0"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6" borderId="80" xfId="0" applyFont="1" applyFill="1" applyBorder="1" applyAlignment="1" applyProtection="1">
      <alignment horizontal="center" vertical="center" wrapText="1"/>
    </xf>
    <xf numFmtId="0" fontId="6" fillId="6" borderId="81" xfId="0" applyFont="1" applyFill="1" applyBorder="1" applyAlignment="1" applyProtection="1">
      <alignment horizontal="center" vertical="center" wrapText="1"/>
    </xf>
    <xf numFmtId="0" fontId="34" fillId="0" borderId="0" xfId="0" applyFont="1" applyFill="1" applyAlignment="1" applyProtection="1">
      <alignment vertical="top" wrapText="1"/>
    </xf>
    <xf numFmtId="171" fontId="0" fillId="0" borderId="70" xfId="0" applyNumberFormat="1" applyFont="1" applyFill="1" applyBorder="1" applyAlignment="1" applyProtection="1">
      <alignment horizontal="center"/>
    </xf>
    <xf numFmtId="171" fontId="0" fillId="0" borderId="12" xfId="0" applyNumberFormat="1" applyFont="1" applyFill="1" applyBorder="1" applyAlignment="1" applyProtection="1">
      <alignment horizontal="center"/>
    </xf>
    <xf numFmtId="171" fontId="0" fillId="0" borderId="71" xfId="0" applyNumberFormat="1" applyFont="1" applyFill="1" applyBorder="1" applyAlignment="1" applyProtection="1">
      <alignment horizontal="center"/>
    </xf>
    <xf numFmtId="172" fontId="0" fillId="0" borderId="1" xfId="0" applyNumberFormat="1" applyBorder="1" applyAlignment="1">
      <alignment horizontal="center"/>
    </xf>
    <xf numFmtId="173" fontId="37" fillId="0" borderId="1" xfId="4" applyNumberFormat="1" applyFont="1" applyBorder="1" applyAlignment="1">
      <alignment horizontal="center"/>
    </xf>
    <xf numFmtId="0" fontId="37" fillId="0" borderId="1" xfId="4" applyFont="1" applyBorder="1" applyAlignment="1">
      <alignment horizontal="center"/>
    </xf>
    <xf numFmtId="1" fontId="37" fillId="0" borderId="1" xfId="4" applyNumberFormat="1" applyFont="1" applyBorder="1" applyAlignment="1">
      <alignment horizontal="center"/>
    </xf>
    <xf numFmtId="173" fontId="37" fillId="14" borderId="1" xfId="4" applyNumberFormat="1" applyFont="1" applyFill="1" applyBorder="1" applyAlignment="1">
      <alignment horizontal="center"/>
    </xf>
    <xf numFmtId="1" fontId="37" fillId="14" borderId="1" xfId="4" applyNumberFormat="1" applyFont="1" applyFill="1" applyBorder="1" applyAlignment="1">
      <alignment horizontal="center"/>
    </xf>
    <xf numFmtId="0" fontId="5" fillId="0" borderId="1" xfId="0" applyFont="1" applyBorder="1" applyAlignment="1">
      <alignment horizontal="center" vertical="center"/>
    </xf>
    <xf numFmtId="0" fontId="6" fillId="6" borderId="1" xfId="0" applyFont="1" applyFill="1" applyBorder="1" applyAlignment="1">
      <alignment horizontal="center" vertical="center"/>
    </xf>
    <xf numFmtId="49" fontId="6" fillId="15" borderId="1" xfId="0" applyNumberFormat="1" applyFont="1" applyFill="1" applyBorder="1" applyAlignment="1">
      <alignment horizontal="center"/>
    </xf>
    <xf numFmtId="1" fontId="0" fillId="0" borderId="1" xfId="0" applyNumberFormat="1" applyBorder="1" applyAlignment="1">
      <alignment horizontal="center"/>
    </xf>
    <xf numFmtId="3" fontId="0" fillId="0" borderId="0" xfId="0" applyNumberFormat="1" applyFill="1" applyProtection="1"/>
    <xf numFmtId="3" fontId="30" fillId="16" borderId="70" xfId="0" applyNumberFormat="1" applyFont="1" applyFill="1" applyBorder="1" applyAlignment="1" applyProtection="1">
      <alignment horizontal="center"/>
    </xf>
    <xf numFmtId="171" fontId="30" fillId="16" borderId="70" xfId="0" applyNumberFormat="1" applyFont="1" applyFill="1" applyBorder="1" applyAlignment="1" applyProtection="1">
      <alignment horizontal="center"/>
    </xf>
    <xf numFmtId="3" fontId="30" fillId="16" borderId="12" xfId="0" applyNumberFormat="1" applyFont="1" applyFill="1" applyBorder="1" applyAlignment="1" applyProtection="1">
      <alignment horizontal="center"/>
    </xf>
    <xf numFmtId="171" fontId="30" fillId="16" borderId="12" xfId="0" applyNumberFormat="1" applyFont="1" applyFill="1" applyBorder="1" applyAlignment="1" applyProtection="1">
      <alignment horizontal="center"/>
    </xf>
    <xf numFmtId="3" fontId="30" fillId="17" borderId="70" xfId="0" applyNumberFormat="1" applyFont="1" applyFill="1" applyBorder="1" applyAlignment="1" applyProtection="1">
      <alignment horizontal="center"/>
    </xf>
    <xf numFmtId="0" fontId="30" fillId="17" borderId="70" xfId="0" applyFont="1" applyFill="1" applyBorder="1" applyAlignment="1" applyProtection="1">
      <alignment horizontal="center"/>
    </xf>
    <xf numFmtId="0" fontId="30" fillId="17" borderId="12" xfId="0" applyFont="1" applyFill="1" applyBorder="1" applyAlignment="1" applyProtection="1">
      <alignment horizontal="center"/>
    </xf>
    <xf numFmtId="3" fontId="30" fillId="17" borderId="12" xfId="0" applyNumberFormat="1" applyFont="1" applyFill="1" applyBorder="1" applyAlignment="1" applyProtection="1">
      <alignment horizontal="center"/>
    </xf>
    <xf numFmtId="1" fontId="30" fillId="18" borderId="70" xfId="0" applyNumberFormat="1" applyFont="1" applyFill="1" applyBorder="1" applyAlignment="1" applyProtection="1">
      <alignment horizontal="center"/>
    </xf>
    <xf numFmtId="172" fontId="30" fillId="18" borderId="70" xfId="0" applyNumberFormat="1" applyFont="1" applyFill="1" applyBorder="1" applyAlignment="1" applyProtection="1">
      <alignment horizontal="center"/>
    </xf>
    <xf numFmtId="3" fontId="30" fillId="18" borderId="70" xfId="0" applyNumberFormat="1" applyFont="1" applyFill="1" applyBorder="1" applyAlignment="1" applyProtection="1">
      <alignment horizontal="center"/>
    </xf>
    <xf numFmtId="0" fontId="30" fillId="18" borderId="70" xfId="0" applyFont="1" applyFill="1" applyBorder="1" applyAlignment="1" applyProtection="1">
      <alignment horizontal="center"/>
    </xf>
    <xf numFmtId="2" fontId="30" fillId="18" borderId="70" xfId="0" applyNumberFormat="1" applyFont="1" applyFill="1" applyBorder="1" applyAlignment="1" applyProtection="1">
      <alignment horizontal="center"/>
    </xf>
    <xf numFmtId="0" fontId="30" fillId="18" borderId="12" xfId="0" applyFont="1" applyFill="1" applyBorder="1" applyAlignment="1" applyProtection="1">
      <alignment horizontal="center"/>
    </xf>
    <xf numFmtId="3" fontId="30" fillId="18" borderId="12" xfId="0" applyNumberFormat="1" applyFont="1" applyFill="1" applyBorder="1" applyAlignment="1" applyProtection="1">
      <alignment horizontal="center"/>
    </xf>
    <xf numFmtId="1" fontId="30" fillId="18" borderId="12" xfId="0" applyNumberFormat="1" applyFont="1" applyFill="1" applyBorder="1" applyAlignment="1" applyProtection="1">
      <alignment horizontal="center"/>
    </xf>
    <xf numFmtId="0" fontId="0" fillId="6" borderId="6" xfId="0" applyFont="1" applyFill="1" applyBorder="1" applyAlignment="1" applyProtection="1">
      <alignment horizontal="center"/>
    </xf>
    <xf numFmtId="0" fontId="17" fillId="6" borderId="6" xfId="0" applyFont="1" applyFill="1" applyBorder="1" applyAlignment="1" applyProtection="1">
      <alignment horizontal="right"/>
    </xf>
    <xf numFmtId="167" fontId="17" fillId="6" borderId="6" xfId="0" applyNumberFormat="1" applyFont="1" applyFill="1" applyBorder="1" applyAlignment="1" applyProtection="1">
      <alignment horizontal="center"/>
    </xf>
    <xf numFmtId="0" fontId="17" fillId="6" borderId="6" xfId="0" applyFont="1" applyFill="1" applyBorder="1" applyAlignment="1" applyProtection="1">
      <alignment horizontal="left"/>
    </xf>
    <xf numFmtId="3" fontId="0" fillId="0" borderId="70" xfId="0" applyNumberFormat="1" applyFont="1" applyFill="1" applyBorder="1" applyAlignment="1" applyProtection="1">
      <alignment horizontal="center"/>
    </xf>
    <xf numFmtId="3" fontId="0" fillId="0" borderId="12" xfId="0" applyNumberFormat="1" applyFont="1" applyFill="1" applyBorder="1" applyAlignment="1" applyProtection="1">
      <alignment horizontal="center"/>
    </xf>
    <xf numFmtId="3" fontId="0" fillId="0" borderId="71" xfId="0" applyNumberFormat="1" applyFont="1" applyFill="1" applyBorder="1" applyAlignment="1" applyProtection="1">
      <alignment horizontal="center"/>
    </xf>
    <xf numFmtId="0" fontId="6" fillId="6" borderId="1" xfId="0" applyFont="1" applyFill="1" applyBorder="1" applyAlignment="1">
      <alignment horizontal="center"/>
    </xf>
    <xf numFmtId="0" fontId="0" fillId="19" borderId="70" xfId="0" applyNumberFormat="1" applyFill="1" applyBorder="1" applyAlignment="1" applyProtection="1">
      <alignment horizontal="center"/>
    </xf>
    <xf numFmtId="1" fontId="0" fillId="19" borderId="70" xfId="0" applyNumberFormat="1" applyFill="1" applyBorder="1" applyAlignment="1" applyProtection="1">
      <alignment horizontal="center"/>
    </xf>
    <xf numFmtId="0" fontId="38" fillId="0" borderId="0" xfId="0" applyFont="1" applyBorder="1"/>
    <xf numFmtId="0" fontId="37" fillId="0" borderId="0" xfId="0" applyFont="1" applyBorder="1"/>
    <xf numFmtId="2" fontId="37" fillId="0" borderId="0" xfId="0" applyNumberFormat="1" applyFont="1" applyBorder="1"/>
    <xf numFmtId="3" fontId="37" fillId="0" borderId="0" xfId="0" applyNumberFormat="1" applyFont="1" applyBorder="1"/>
    <xf numFmtId="2" fontId="37" fillId="0" borderId="0" xfId="0" applyNumberFormat="1" applyFont="1" applyFill="1" applyBorder="1"/>
    <xf numFmtId="0" fontId="37" fillId="0" borderId="0" xfId="0" applyFont="1" applyBorder="1" applyAlignment="1">
      <alignment horizontal="right"/>
    </xf>
    <xf numFmtId="171" fontId="37" fillId="0" borderId="0" xfId="0" applyNumberFormat="1" applyFont="1" applyBorder="1"/>
    <xf numFmtId="0" fontId="37" fillId="0" borderId="0" xfId="0" applyFont="1" applyFill="1" applyBorder="1" applyAlignment="1">
      <alignment horizontal="right"/>
    </xf>
    <xf numFmtId="171" fontId="37" fillId="0" borderId="0" xfId="0" applyNumberFormat="1" applyFont="1" applyFill="1" applyBorder="1" applyAlignment="1">
      <alignment horizontal="right"/>
    </xf>
    <xf numFmtId="49" fontId="0" fillId="19" borderId="70" xfId="0" applyNumberFormat="1" applyFill="1" applyBorder="1" applyAlignment="1" applyProtection="1">
      <alignment horizontal="center"/>
    </xf>
    <xf numFmtId="2" fontId="0" fillId="19" borderId="70" xfId="0" applyNumberFormat="1" applyFill="1" applyBorder="1" applyAlignment="1" applyProtection="1">
      <alignment horizontal="center"/>
    </xf>
    <xf numFmtId="11" fontId="0" fillId="19" borderId="70" xfId="0" applyNumberFormat="1" applyFill="1" applyBorder="1" applyAlignment="1" applyProtection="1">
      <alignment horizontal="center"/>
    </xf>
    <xf numFmtId="1" fontId="0" fillId="19" borderId="45" xfId="0" applyNumberFormat="1" applyFill="1" applyBorder="1" applyAlignment="1" applyProtection="1">
      <alignment horizontal="center"/>
    </xf>
    <xf numFmtId="0" fontId="0" fillId="19" borderId="84" xfId="0" applyNumberFormat="1" applyFill="1" applyBorder="1" applyAlignment="1" applyProtection="1">
      <alignment horizontal="center"/>
    </xf>
    <xf numFmtId="3" fontId="0" fillId="19" borderId="70" xfId="0" applyNumberFormat="1" applyFill="1" applyBorder="1" applyAlignment="1" applyProtection="1">
      <alignment horizontal="center"/>
    </xf>
    <xf numFmtId="49" fontId="6" fillId="6" borderId="1" xfId="0" quotePrefix="1" applyNumberFormat="1" applyFont="1" applyFill="1" applyBorder="1" applyAlignment="1">
      <alignment horizontal="center"/>
    </xf>
    <xf numFmtId="0" fontId="0" fillId="19" borderId="12" xfId="0" applyNumberFormat="1" applyFill="1" applyBorder="1" applyAlignment="1" applyProtection="1">
      <alignment horizontal="center"/>
    </xf>
    <xf numFmtId="0" fontId="0" fillId="19" borderId="85" xfId="0" applyNumberFormat="1" applyFill="1" applyBorder="1" applyAlignment="1" applyProtection="1">
      <alignment horizontal="center"/>
    </xf>
    <xf numFmtId="0" fontId="34" fillId="6" borderId="0" xfId="0" applyFont="1" applyFill="1" applyProtection="1"/>
    <xf numFmtId="0" fontId="6" fillId="6" borderId="1" xfId="0" applyFont="1" applyFill="1" applyBorder="1" applyAlignment="1">
      <alignment horizontal="center"/>
    </xf>
    <xf numFmtId="0" fontId="0" fillId="0" borderId="87" xfId="0" applyNumberFormat="1" applyFont="1" applyBorder="1" applyAlignment="1">
      <alignment horizontal="center"/>
    </xf>
    <xf numFmtId="171" fontId="0" fillId="0" borderId="1" xfId="0" applyNumberFormat="1" applyBorder="1" applyAlignment="1">
      <alignment horizontal="center"/>
    </xf>
    <xf numFmtId="1" fontId="0" fillId="0" borderId="0" xfId="0" applyNumberFormat="1"/>
    <xf numFmtId="2" fontId="0" fillId="0" borderId="0" xfId="0" applyNumberFormat="1"/>
    <xf numFmtId="1" fontId="0" fillId="11" borderId="70" xfId="0" applyNumberFormat="1" applyFill="1" applyBorder="1" applyAlignment="1" applyProtection="1">
      <alignment horizontal="center"/>
    </xf>
    <xf numFmtId="1" fontId="0" fillId="12" borderId="70" xfId="0" applyNumberFormat="1" applyFill="1" applyBorder="1" applyAlignment="1" applyProtection="1">
      <alignment horizontal="center"/>
    </xf>
    <xf numFmtId="2" fontId="4" fillId="0" borderId="1" xfId="5" applyNumberFormat="1" applyBorder="1" applyAlignment="1">
      <alignment horizontal="center"/>
    </xf>
    <xf numFmtId="0" fontId="21" fillId="0" borderId="0" xfId="0" applyFont="1" applyFill="1" applyBorder="1" applyAlignment="1" applyProtection="1">
      <alignment vertical="center" wrapText="1"/>
    </xf>
    <xf numFmtId="0" fontId="0" fillId="0" borderId="66" xfId="0" applyFill="1" applyBorder="1" applyProtection="1"/>
    <xf numFmtId="0" fontId="0" fillId="0" borderId="10" xfId="0" applyFill="1" applyBorder="1" applyProtection="1"/>
    <xf numFmtId="0" fontId="6" fillId="6" borderId="1" xfId="0" applyFont="1" applyFill="1" applyBorder="1" applyAlignment="1">
      <alignment horizontal="center"/>
    </xf>
    <xf numFmtId="49" fontId="6" fillId="6" borderId="1" xfId="0" applyNumberFormat="1" applyFont="1" applyFill="1" applyBorder="1" applyAlignment="1">
      <alignment horizontal="center"/>
    </xf>
    <xf numFmtId="0" fontId="6" fillId="6" borderId="1" xfId="0" applyFont="1" applyFill="1" applyBorder="1" applyAlignment="1">
      <alignment horizontal="center"/>
    </xf>
    <xf numFmtId="49" fontId="0" fillId="20" borderId="94" xfId="0" applyNumberFormat="1" applyFont="1" applyFill="1" applyBorder="1" applyAlignment="1">
      <alignment horizontal="center"/>
    </xf>
    <xf numFmtId="49" fontId="0" fillId="0" borderId="0" xfId="0" applyNumberFormat="1" applyAlignment="1"/>
    <xf numFmtId="0" fontId="0" fillId="0" borderId="0" xfId="0" applyNumberFormat="1" applyFont="1" applyBorder="1" applyAlignment="1">
      <alignment horizontal="center"/>
    </xf>
    <xf numFmtId="49" fontId="0" fillId="0" borderId="87" xfId="0" applyNumberFormat="1" applyFont="1" applyBorder="1" applyAlignment="1">
      <alignment horizontal="center"/>
    </xf>
    <xf numFmtId="0" fontId="0" fillId="0" borderId="0" xfId="0" applyBorder="1"/>
    <xf numFmtId="49" fontId="6" fillId="0" borderId="3" xfId="0" applyNumberFormat="1" applyFont="1" applyBorder="1" applyAlignment="1">
      <alignment horizontal="center"/>
    </xf>
    <xf numFmtId="49" fontId="0" fillId="0" borderId="95" xfId="0" applyNumberFormat="1" applyBorder="1" applyAlignment="1">
      <alignment horizontal="center"/>
    </xf>
    <xf numFmtId="49" fontId="0" fillId="0" borderId="66" xfId="0" applyNumberFormat="1" applyBorder="1" applyAlignment="1">
      <alignment horizontal="center"/>
    </xf>
    <xf numFmtId="0" fontId="0" fillId="0" borderId="45" xfId="0" applyFill="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3" xfId="0" applyNumberFormat="1" applyFill="1" applyBorder="1" applyAlignment="1" applyProtection="1">
      <alignment horizontal="center" vertical="center"/>
    </xf>
    <xf numFmtId="169" fontId="0" fillId="0" borderId="12" xfId="0" applyNumberFormat="1" applyFill="1" applyBorder="1" applyAlignment="1" applyProtection="1">
      <alignment horizontal="center" vertical="center"/>
    </xf>
    <xf numFmtId="164" fontId="0" fillId="5" borderId="46" xfId="0" applyNumberFormat="1" applyFill="1" applyBorder="1" applyAlignment="1" applyProtection="1">
      <alignment horizontal="center" vertical="center"/>
    </xf>
    <xf numFmtId="0" fontId="0" fillId="5" borderId="7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164" fontId="0" fillId="5" borderId="50" xfId="0" applyNumberFormat="1" applyFill="1" applyBorder="1" applyAlignment="1" applyProtection="1">
      <alignment horizontal="center" vertical="center"/>
    </xf>
    <xf numFmtId="0" fontId="0" fillId="5" borderId="71" xfId="0" applyFill="1" applyBorder="1" applyAlignment="1" applyProtection="1">
      <alignment horizontal="center" vertical="center"/>
      <protection locked="0"/>
    </xf>
    <xf numFmtId="167" fontId="0" fillId="0" borderId="70" xfId="0" applyNumberFormat="1" applyBorder="1" applyAlignment="1" applyProtection="1">
      <alignment horizontal="center" vertical="center"/>
      <protection locked="0"/>
    </xf>
    <xf numFmtId="167" fontId="0" fillId="0" borderId="71" xfId="0" applyNumberFormat="1" applyBorder="1" applyAlignment="1" applyProtection="1">
      <alignment horizontal="center" vertical="center"/>
      <protection locked="0"/>
    </xf>
    <xf numFmtId="1" fontId="0" fillId="12" borderId="12" xfId="0" applyNumberFormat="1" applyFill="1" applyBorder="1" applyAlignment="1" applyProtection="1">
      <alignment horizontal="center"/>
    </xf>
    <xf numFmtId="0" fontId="0" fillId="11" borderId="12" xfId="0" applyNumberFormat="1" applyFill="1" applyBorder="1" applyAlignment="1" applyProtection="1">
      <alignment horizontal="center"/>
    </xf>
    <xf numFmtId="1" fontId="0" fillId="11" borderId="12" xfId="0" applyNumberFormat="1" applyFill="1" applyBorder="1" applyAlignment="1" applyProtection="1">
      <alignment horizontal="center"/>
    </xf>
    <xf numFmtId="172" fontId="30" fillId="18" borderId="12" xfId="0" applyNumberFormat="1" applyFont="1" applyFill="1" applyBorder="1" applyAlignment="1" applyProtection="1">
      <alignment horizontal="center"/>
    </xf>
    <xf numFmtId="2" fontId="30" fillId="18" borderId="12" xfId="0" applyNumberFormat="1" applyFont="1" applyFill="1" applyBorder="1" applyAlignment="1" applyProtection="1">
      <alignment horizontal="center"/>
    </xf>
    <xf numFmtId="49" fontId="0" fillId="19" borderId="12" xfId="0" applyNumberFormat="1" applyFill="1" applyBorder="1" applyAlignment="1" applyProtection="1">
      <alignment horizontal="center"/>
    </xf>
    <xf numFmtId="1" fontId="0" fillId="19" borderId="12" xfId="0" applyNumberFormat="1" applyFill="1" applyBorder="1" applyAlignment="1" applyProtection="1">
      <alignment horizontal="center"/>
    </xf>
    <xf numFmtId="2" fontId="0" fillId="19" borderId="12" xfId="0" applyNumberFormat="1" applyFill="1" applyBorder="1" applyAlignment="1" applyProtection="1">
      <alignment horizontal="center"/>
    </xf>
    <xf numFmtId="11" fontId="0" fillId="19" borderId="12" xfId="0" applyNumberFormat="1" applyFill="1" applyBorder="1" applyAlignment="1" applyProtection="1">
      <alignment horizontal="center"/>
    </xf>
    <xf numFmtId="1" fontId="0" fillId="19" borderId="13" xfId="0" applyNumberFormat="1" applyFill="1" applyBorder="1" applyAlignment="1" applyProtection="1">
      <alignment horizontal="center"/>
    </xf>
    <xf numFmtId="3" fontId="0" fillId="19" borderId="12" xfId="0" applyNumberFormat="1" applyFill="1" applyBorder="1" applyAlignment="1" applyProtection="1">
      <alignment horizontal="center"/>
    </xf>
    <xf numFmtId="0" fontId="5" fillId="0" borderId="0" xfId="0" applyFont="1" applyBorder="1" applyAlignment="1" applyProtection="1">
      <alignment vertical="top" wrapText="1"/>
    </xf>
    <xf numFmtId="0" fontId="5" fillId="0" borderId="0" xfId="0" applyFont="1" applyBorder="1" applyAlignment="1" applyProtection="1">
      <alignment vertical="top"/>
    </xf>
    <xf numFmtId="0" fontId="5" fillId="0" borderId="0" xfId="0" applyFont="1" applyFill="1" applyBorder="1" applyAlignment="1" applyProtection="1">
      <alignment vertical="top" wrapText="1"/>
    </xf>
    <xf numFmtId="0" fontId="5" fillId="0" borderId="0" xfId="0" applyFont="1" applyAlignment="1" applyProtection="1">
      <alignment vertical="top"/>
    </xf>
    <xf numFmtId="0" fontId="5" fillId="0" borderId="65" xfId="0" applyFont="1" applyFill="1" applyBorder="1" applyAlignment="1" applyProtection="1">
      <alignment wrapText="1"/>
    </xf>
    <xf numFmtId="0" fontId="5"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indent="1"/>
    </xf>
    <xf numFmtId="0" fontId="6" fillId="6" borderId="31" xfId="0" applyFont="1" applyFill="1" applyBorder="1" applyAlignment="1" applyProtection="1">
      <alignment horizontal="center" vertical="center" wrapText="1"/>
    </xf>
    <xf numFmtId="0" fontId="5" fillId="0" borderId="0" xfId="0" applyFont="1" applyAlignment="1" applyProtection="1">
      <alignment vertical="top" wrapText="1"/>
    </xf>
    <xf numFmtId="2" fontId="0" fillId="0" borderId="0" xfId="0" applyNumberFormat="1" applyFill="1" applyProtection="1"/>
    <xf numFmtId="49" fontId="0" fillId="0" borderId="0" xfId="0" applyNumberFormat="1" applyFill="1" applyAlignment="1" applyProtection="1">
      <alignment horizontal="center"/>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top" wrapText="1"/>
    </xf>
    <xf numFmtId="0" fontId="2" fillId="0" borderId="0" xfId="0" applyFont="1" applyAlignment="1" applyProtection="1">
      <alignment horizontal="left" vertical="center" wrapText="1" indent="1"/>
    </xf>
    <xf numFmtId="0" fontId="5" fillId="0" borderId="0" xfId="0" applyFont="1" applyAlignment="1" applyProtection="1">
      <alignment horizontal="left" vertical="center" wrapText="1" indent="1"/>
    </xf>
    <xf numFmtId="1" fontId="5" fillId="7" borderId="16" xfId="0" applyNumberFormat="1" applyFont="1" applyFill="1" applyBorder="1" applyAlignment="1" applyProtection="1">
      <alignment horizontal="left" vertical="top" wrapText="1" indent="1"/>
      <protection locked="0"/>
    </xf>
    <xf numFmtId="1" fontId="5" fillId="7" borderId="17" xfId="0" applyNumberFormat="1" applyFont="1" applyFill="1" applyBorder="1" applyAlignment="1" applyProtection="1">
      <alignment horizontal="left" vertical="top" wrapText="1" indent="1"/>
      <protection locked="0"/>
    </xf>
    <xf numFmtId="1" fontId="5" fillId="7" borderId="18" xfId="0" applyNumberFormat="1" applyFont="1" applyFill="1" applyBorder="1" applyAlignment="1" applyProtection="1">
      <alignment horizontal="left" vertical="top" wrapText="1" indent="1"/>
      <protection locked="0"/>
    </xf>
    <xf numFmtId="1" fontId="5" fillId="7" borderId="19" xfId="0" applyNumberFormat="1" applyFont="1" applyFill="1" applyBorder="1" applyAlignment="1" applyProtection="1">
      <alignment horizontal="left" vertical="top" wrapText="1" indent="1"/>
      <protection locked="0"/>
    </xf>
    <xf numFmtId="1" fontId="5" fillId="7" borderId="0" xfId="0" applyNumberFormat="1" applyFont="1" applyFill="1" applyBorder="1" applyAlignment="1" applyProtection="1">
      <alignment horizontal="left" vertical="top" wrapText="1" indent="1"/>
      <protection locked="0"/>
    </xf>
    <xf numFmtId="1" fontId="5" fillId="7" borderId="20" xfId="0" applyNumberFormat="1" applyFont="1" applyFill="1" applyBorder="1" applyAlignment="1" applyProtection="1">
      <alignment horizontal="left" vertical="top" wrapText="1" indent="1"/>
      <protection locked="0"/>
    </xf>
    <xf numFmtId="1" fontId="5" fillId="7" borderId="22" xfId="0" applyNumberFormat="1" applyFont="1" applyFill="1" applyBorder="1" applyAlignment="1" applyProtection="1">
      <alignment horizontal="left" vertical="top" wrapText="1" indent="1"/>
      <protection locked="0"/>
    </xf>
    <xf numFmtId="1" fontId="5" fillId="7" borderId="25" xfId="0" applyNumberFormat="1" applyFont="1" applyFill="1" applyBorder="1" applyAlignment="1" applyProtection="1">
      <alignment horizontal="left" vertical="top" wrapText="1" indent="1"/>
      <protection locked="0"/>
    </xf>
    <xf numFmtId="1" fontId="5" fillId="7" borderId="21" xfId="0" applyNumberFormat="1" applyFont="1" applyFill="1" applyBorder="1" applyAlignment="1" applyProtection="1">
      <alignment horizontal="left" vertical="top" wrapText="1" indent="1"/>
      <protection locked="0"/>
    </xf>
    <xf numFmtId="0" fontId="5" fillId="7" borderId="16" xfId="0" applyFont="1" applyFill="1" applyBorder="1" applyAlignment="1" applyProtection="1">
      <alignment horizontal="left" vertical="top" wrapText="1" indent="1"/>
      <protection locked="0"/>
    </xf>
    <xf numFmtId="0" fontId="5" fillId="7" borderId="17" xfId="0" applyFont="1" applyFill="1" applyBorder="1" applyAlignment="1" applyProtection="1">
      <alignment horizontal="left" vertical="top" wrapText="1" indent="1"/>
      <protection locked="0"/>
    </xf>
    <xf numFmtId="0" fontId="5" fillId="7" borderId="18" xfId="0" applyFont="1" applyFill="1" applyBorder="1" applyAlignment="1" applyProtection="1">
      <alignment horizontal="left" vertical="top" wrapText="1" indent="1"/>
      <protection locked="0"/>
    </xf>
    <xf numFmtId="0" fontId="5" fillId="7" borderId="19" xfId="0" applyFont="1" applyFill="1" applyBorder="1" applyAlignment="1" applyProtection="1">
      <alignment horizontal="left" vertical="top" wrapText="1" indent="1"/>
      <protection locked="0"/>
    </xf>
    <xf numFmtId="0" fontId="5" fillId="7" borderId="0" xfId="0" applyFont="1" applyFill="1" applyBorder="1" applyAlignment="1" applyProtection="1">
      <alignment horizontal="left" vertical="top" wrapText="1" indent="1"/>
      <protection locked="0"/>
    </xf>
    <xf numFmtId="0" fontId="5" fillId="7" borderId="20" xfId="0" applyFont="1" applyFill="1" applyBorder="1" applyAlignment="1" applyProtection="1">
      <alignment horizontal="left" vertical="top" wrapText="1" indent="1"/>
      <protection locked="0"/>
    </xf>
    <xf numFmtId="0" fontId="5" fillId="7" borderId="22" xfId="0" applyFont="1" applyFill="1" applyBorder="1" applyAlignment="1" applyProtection="1">
      <alignment horizontal="left" vertical="top" wrapText="1" indent="1"/>
      <protection locked="0"/>
    </xf>
    <xf numFmtId="0" fontId="5" fillId="7" borderId="25" xfId="0" applyFont="1" applyFill="1" applyBorder="1" applyAlignment="1" applyProtection="1">
      <alignment horizontal="left" vertical="top" wrapText="1" indent="1"/>
      <protection locked="0"/>
    </xf>
    <xf numFmtId="0" fontId="5" fillId="7" borderId="21" xfId="0" applyFont="1" applyFill="1" applyBorder="1" applyAlignment="1" applyProtection="1">
      <alignment horizontal="left" vertical="top" wrapText="1" indent="1"/>
      <protection locked="0"/>
    </xf>
    <xf numFmtId="0" fontId="6" fillId="0" borderId="16" xfId="0" applyFont="1" applyFill="1" applyBorder="1" applyAlignment="1" applyProtection="1">
      <alignment horizontal="left" vertical="center" indent="1"/>
    </xf>
    <xf numFmtId="0" fontId="6" fillId="0" borderId="17" xfId="0" applyFont="1" applyFill="1" applyBorder="1" applyAlignment="1" applyProtection="1">
      <alignment horizontal="left" vertical="center" indent="1"/>
    </xf>
    <xf numFmtId="0" fontId="6" fillId="0" borderId="18" xfId="0" applyFont="1" applyFill="1" applyBorder="1" applyAlignment="1" applyProtection="1">
      <alignment horizontal="left" vertical="center" indent="1"/>
    </xf>
    <xf numFmtId="0" fontId="6" fillId="0" borderId="19" xfId="0" applyFont="1" applyFill="1" applyBorder="1" applyAlignment="1" applyProtection="1">
      <alignment horizontal="left" vertical="center" indent="1"/>
    </xf>
    <xf numFmtId="0" fontId="6" fillId="0" borderId="0" xfId="0" applyFont="1" applyFill="1" applyBorder="1" applyAlignment="1" applyProtection="1">
      <alignment horizontal="left" vertical="center" indent="1"/>
    </xf>
    <xf numFmtId="0" fontId="6" fillId="0" borderId="20" xfId="0" applyFont="1" applyFill="1" applyBorder="1" applyAlignment="1" applyProtection="1">
      <alignment horizontal="left" vertical="center" indent="1"/>
    </xf>
    <xf numFmtId="0" fontId="5" fillId="7" borderId="24" xfId="0" applyFont="1" applyFill="1" applyBorder="1" applyAlignment="1" applyProtection="1">
      <alignment horizontal="left" vertical="center" indent="1"/>
      <protection locked="0"/>
    </xf>
    <xf numFmtId="0" fontId="5" fillId="7" borderId="49" xfId="0" applyFont="1" applyFill="1" applyBorder="1" applyAlignment="1" applyProtection="1">
      <alignment horizontal="left" vertical="center" indent="1"/>
      <protection locked="0"/>
    </xf>
    <xf numFmtId="0" fontId="5" fillId="7" borderId="23" xfId="0" applyFont="1" applyFill="1" applyBorder="1" applyAlignment="1" applyProtection="1">
      <alignment horizontal="left" vertical="center" indent="1"/>
      <protection locked="0"/>
    </xf>
    <xf numFmtId="0" fontId="45" fillId="0" borderId="0" xfId="0" applyFont="1" applyAlignment="1" applyProtection="1">
      <alignment horizontal="center" vertical="center"/>
    </xf>
    <xf numFmtId="49" fontId="0" fillId="5" borderId="13" xfId="0" applyNumberFormat="1" applyFill="1" applyBorder="1" applyAlignment="1" applyProtection="1">
      <alignment horizontal="right" vertical="center"/>
      <protection locked="0"/>
    </xf>
    <xf numFmtId="49" fontId="0" fillId="5" borderId="11" xfId="0" applyNumberFormat="1" applyFill="1" applyBorder="1" applyAlignment="1" applyProtection="1">
      <alignment horizontal="right" vertical="center"/>
      <protection locked="0"/>
    </xf>
    <xf numFmtId="0" fontId="0" fillId="0" borderId="13" xfId="0" applyNumberFormat="1" applyBorder="1" applyAlignment="1" applyProtection="1">
      <alignment horizontal="center" vertical="center" shrinkToFit="1"/>
      <protection locked="0"/>
    </xf>
    <xf numFmtId="0" fontId="0" fillId="0" borderId="11" xfId="0" applyNumberFormat="1" applyBorder="1" applyAlignment="1" applyProtection="1">
      <alignment horizontal="center" vertical="center" shrinkToFit="1"/>
      <protection locked="0"/>
    </xf>
    <xf numFmtId="0" fontId="0" fillId="0" borderId="14" xfId="0" applyNumberFormat="1" applyBorder="1" applyAlignment="1" applyProtection="1">
      <alignment horizontal="center" vertical="center" shrinkToFit="1"/>
      <protection locked="0"/>
    </xf>
    <xf numFmtId="49" fontId="0" fillId="0" borderId="45"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0" fontId="42" fillId="0" borderId="0" xfId="0" applyFont="1" applyFill="1" applyBorder="1" applyAlignment="1" applyProtection="1">
      <alignment horizontal="left" vertical="center" wrapText="1" indent="1"/>
    </xf>
    <xf numFmtId="0" fontId="21" fillId="0" borderId="0" xfId="0" applyFont="1" applyFill="1" applyBorder="1" applyAlignment="1" applyProtection="1">
      <alignment horizontal="left" vertical="center" wrapText="1" indent="1"/>
    </xf>
    <xf numFmtId="0" fontId="30" fillId="2" borderId="13" xfId="1" applyFont="1" applyBorder="1" applyAlignment="1" applyProtection="1">
      <alignment horizontal="left" vertical="center" indent="1"/>
    </xf>
    <xf numFmtId="0" fontId="30" fillId="2" borderId="11" xfId="1" applyFont="1" applyBorder="1" applyAlignment="1" applyProtection="1">
      <alignment horizontal="left" vertical="center" indent="1"/>
    </xf>
    <xf numFmtId="0" fontId="30" fillId="2" borderId="14" xfId="1" applyFont="1" applyBorder="1" applyAlignment="1" applyProtection="1">
      <alignment horizontal="left" vertical="center" indent="1"/>
    </xf>
    <xf numFmtId="0" fontId="30" fillId="3" borderId="13" xfId="2" applyFont="1" applyBorder="1" applyAlignment="1" applyProtection="1">
      <alignment horizontal="left" vertical="center" indent="1"/>
    </xf>
    <xf numFmtId="0" fontId="30" fillId="3" borderId="11" xfId="2" applyFont="1" applyBorder="1" applyAlignment="1" applyProtection="1">
      <alignment horizontal="left" vertical="center" indent="1"/>
    </xf>
    <xf numFmtId="0" fontId="30" fillId="3" borderId="14" xfId="2" applyFont="1" applyBorder="1" applyAlignment="1" applyProtection="1">
      <alignment horizontal="left" vertical="center" indent="1"/>
    </xf>
    <xf numFmtId="0" fontId="30" fillId="4" borderId="13" xfId="3" applyFont="1" applyBorder="1" applyAlignment="1" applyProtection="1">
      <alignment horizontal="left" vertical="center" indent="1"/>
    </xf>
    <xf numFmtId="0" fontId="30" fillId="4" borderId="11" xfId="3" applyFont="1" applyBorder="1" applyAlignment="1" applyProtection="1">
      <alignment horizontal="left" vertical="center" indent="1"/>
    </xf>
    <xf numFmtId="0" fontId="30" fillId="4" borderId="14" xfId="3" applyFont="1" applyBorder="1" applyAlignment="1" applyProtection="1">
      <alignment horizontal="left" vertical="center" indent="1"/>
    </xf>
    <xf numFmtId="0" fontId="6" fillId="0" borderId="26" xfId="0" applyFont="1" applyFill="1" applyBorder="1" applyAlignment="1" applyProtection="1">
      <alignment horizontal="left" vertical="center" indent="1"/>
    </xf>
    <xf numFmtId="0" fontId="18" fillId="0" borderId="88" xfId="0" applyFont="1" applyFill="1" applyBorder="1" applyAlignment="1" applyProtection="1">
      <alignment horizontal="center" vertical="center"/>
    </xf>
    <xf numFmtId="0" fontId="18" fillId="0" borderId="89" xfId="0" applyFont="1" applyFill="1" applyBorder="1" applyAlignment="1" applyProtection="1">
      <alignment horizontal="center" vertical="center"/>
    </xf>
    <xf numFmtId="0" fontId="18" fillId="0" borderId="90" xfId="0" applyFont="1" applyFill="1" applyBorder="1" applyAlignment="1" applyProtection="1">
      <alignment horizontal="center" vertical="center"/>
    </xf>
    <xf numFmtId="0" fontId="18" fillId="0" borderId="91" xfId="0" applyFont="1" applyFill="1" applyBorder="1" applyAlignment="1" applyProtection="1">
      <alignment horizontal="center" vertical="center"/>
    </xf>
    <xf numFmtId="0" fontId="45" fillId="0" borderId="92" xfId="0" applyFont="1" applyFill="1" applyBorder="1" applyAlignment="1" applyProtection="1">
      <alignment horizontal="center" vertical="center"/>
    </xf>
    <xf numFmtId="0" fontId="45" fillId="0" borderId="93" xfId="0" applyFont="1" applyFill="1" applyBorder="1" applyAlignment="1" applyProtection="1">
      <alignment horizontal="center" vertical="center"/>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28"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0" fontId="6" fillId="19" borderId="77" xfId="0" applyFont="1" applyFill="1" applyBorder="1" applyAlignment="1" applyProtection="1">
      <alignment horizontal="center" vertical="center" textRotation="90" wrapText="1"/>
    </xf>
    <xf numFmtId="0" fontId="36" fillId="13" borderId="0" xfId="0" applyFont="1" applyFill="1" applyBorder="1" applyAlignment="1" applyProtection="1">
      <alignment horizontal="center" vertical="center"/>
    </xf>
    <xf numFmtId="0" fontId="0" fillId="0" borderId="0" xfId="0" applyBorder="1" applyAlignment="1"/>
    <xf numFmtId="0" fontId="36" fillId="13" borderId="10" xfId="0" applyFont="1" applyFill="1" applyBorder="1" applyAlignment="1" applyProtection="1">
      <alignment horizontal="center" vertical="center"/>
    </xf>
    <xf numFmtId="0" fontId="0" fillId="0" borderId="10" xfId="0" applyBorder="1" applyAlignment="1"/>
    <xf numFmtId="0" fontId="6" fillId="19" borderId="41" xfId="0" applyFont="1" applyFill="1" applyBorder="1" applyAlignment="1" applyProtection="1">
      <alignment horizontal="center" vertical="center" textRotation="90" wrapText="1"/>
    </xf>
    <xf numFmtId="0" fontId="6" fillId="19" borderId="83" xfId="0" applyFont="1" applyFill="1" applyBorder="1" applyAlignment="1" applyProtection="1">
      <alignment horizontal="center" vertical="center" textRotation="90" wrapText="1"/>
    </xf>
    <xf numFmtId="0" fontId="6" fillId="12" borderId="68" xfId="0" applyFont="1" applyFill="1" applyBorder="1" applyAlignment="1" applyProtection="1">
      <alignment horizontal="center" vertical="center" textRotation="90" wrapText="1"/>
    </xf>
    <xf numFmtId="0" fontId="6" fillId="12" borderId="69" xfId="0" applyFont="1" applyFill="1" applyBorder="1" applyAlignment="1" applyProtection="1">
      <alignment horizontal="center" vertical="center" textRotation="90" wrapText="1"/>
    </xf>
    <xf numFmtId="0" fontId="6" fillId="10" borderId="77" xfId="0" applyFont="1" applyFill="1" applyBorder="1" applyAlignment="1" applyProtection="1">
      <alignment horizontal="center" vertical="center" textRotation="90" wrapText="1"/>
    </xf>
    <xf numFmtId="0" fontId="6" fillId="10" borderId="76" xfId="0" applyFont="1" applyFill="1" applyBorder="1" applyAlignment="1" applyProtection="1">
      <alignment horizontal="center" vertical="center" textRotation="90" wrapText="1"/>
    </xf>
    <xf numFmtId="0" fontId="6" fillId="11" borderId="41" xfId="0" applyFont="1" applyFill="1" applyBorder="1" applyAlignment="1" applyProtection="1">
      <alignment horizontal="center" vertical="center" textRotation="90" wrapText="1"/>
    </xf>
    <xf numFmtId="0" fontId="6" fillId="11" borderId="42" xfId="0" applyFont="1" applyFill="1" applyBorder="1" applyAlignment="1" applyProtection="1">
      <alignment horizontal="center" vertical="center" textRotation="90" wrapText="1"/>
    </xf>
    <xf numFmtId="0" fontId="6" fillId="11" borderId="68" xfId="0" applyFont="1" applyFill="1" applyBorder="1" applyAlignment="1" applyProtection="1">
      <alignment horizontal="center" vertical="center" textRotation="90" wrapText="1"/>
    </xf>
    <xf numFmtId="0" fontId="0" fillId="11" borderId="69" xfId="0" applyFill="1" applyBorder="1" applyAlignment="1">
      <alignment horizontal="center" vertical="center" textRotation="90" wrapText="1"/>
    </xf>
    <xf numFmtId="0" fontId="6" fillId="9" borderId="41" xfId="0" applyFont="1" applyFill="1" applyBorder="1" applyAlignment="1" applyProtection="1">
      <alignment horizontal="center" vertical="center" textRotation="90" wrapText="1"/>
    </xf>
    <xf numFmtId="0" fontId="6" fillId="9" borderId="42" xfId="0" applyFont="1" applyFill="1" applyBorder="1" applyAlignment="1" applyProtection="1">
      <alignment horizontal="center" vertical="center" textRotation="90" wrapText="1"/>
    </xf>
    <xf numFmtId="0" fontId="6" fillId="17" borderId="77" xfId="0" applyFont="1" applyFill="1" applyBorder="1" applyAlignment="1" applyProtection="1">
      <alignment horizontal="center" vertical="center" textRotation="90" wrapText="1"/>
    </xf>
    <xf numFmtId="0" fontId="6" fillId="18" borderId="77" xfId="0" applyFont="1" applyFill="1" applyBorder="1" applyAlignment="1" applyProtection="1">
      <alignment horizontal="center" vertical="center" textRotation="90" wrapText="1"/>
    </xf>
    <xf numFmtId="0" fontId="0" fillId="0" borderId="13" xfId="0" applyNumberFormat="1" applyBorder="1" applyAlignment="1" applyProtection="1">
      <alignment horizontal="center" vertical="center"/>
    </xf>
    <xf numFmtId="0" fontId="0" fillId="0" borderId="14" xfId="0" applyNumberFormat="1" applyBorder="1" applyAlignment="1" applyProtection="1">
      <alignment horizontal="center" vertical="center"/>
    </xf>
    <xf numFmtId="0" fontId="6" fillId="9" borderId="68" xfId="0" applyFont="1" applyFill="1" applyBorder="1" applyAlignment="1" applyProtection="1">
      <alignment horizontal="center" vertical="center" textRotation="90" wrapText="1"/>
    </xf>
    <xf numFmtId="0" fontId="0" fillId="0" borderId="69" xfId="0" applyBorder="1" applyAlignment="1">
      <alignment horizontal="center" vertical="center" textRotation="90" wrapText="1"/>
    </xf>
    <xf numFmtId="0" fontId="6" fillId="0" borderId="41" xfId="0" applyFont="1" applyFill="1" applyBorder="1" applyAlignment="1" applyProtection="1">
      <alignment horizontal="center" vertical="center" textRotation="90" wrapText="1"/>
    </xf>
    <xf numFmtId="0" fontId="6" fillId="0" borderId="42" xfId="0" applyFont="1" applyFill="1" applyBorder="1" applyAlignment="1" applyProtection="1">
      <alignment horizontal="center" vertical="center" textRotation="90" wrapText="1"/>
    </xf>
    <xf numFmtId="0" fontId="6" fillId="0" borderId="68" xfId="0" applyFont="1" applyFill="1" applyBorder="1" applyAlignment="1" applyProtection="1">
      <alignment horizontal="center" vertical="center" textRotation="90" wrapText="1"/>
    </xf>
    <xf numFmtId="0" fontId="6" fillId="0" borderId="69" xfId="0" applyFont="1" applyFill="1" applyBorder="1" applyAlignment="1" applyProtection="1">
      <alignment horizontal="center" vertical="center" textRotation="90" wrapText="1"/>
    </xf>
    <xf numFmtId="0" fontId="6" fillId="6" borderId="0" xfId="0"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2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6" fillId="6" borderId="40" xfId="0" applyFont="1" applyFill="1" applyBorder="1" applyAlignment="1" applyProtection="1">
      <alignment horizontal="center" vertical="center" textRotation="90" wrapText="1"/>
    </xf>
    <xf numFmtId="0" fontId="6" fillId="6" borderId="33" xfId="0" applyFont="1" applyFill="1" applyBorder="1" applyAlignment="1" applyProtection="1">
      <alignment horizontal="center" vertical="center" textRotation="90" wrapText="1"/>
    </xf>
    <xf numFmtId="0" fontId="6" fillId="6" borderId="35" xfId="0" applyFont="1" applyFill="1" applyBorder="1" applyAlignment="1" applyProtection="1">
      <alignment horizontal="center" vertical="center" textRotation="90" wrapText="1"/>
    </xf>
    <xf numFmtId="0" fontId="6" fillId="6" borderId="34" xfId="0" applyFont="1" applyFill="1" applyBorder="1" applyAlignment="1" applyProtection="1">
      <alignment horizontal="center" vertical="center" textRotation="90" wrapText="1"/>
    </xf>
    <xf numFmtId="0" fontId="6" fillId="6" borderId="29" xfId="0" applyFont="1" applyFill="1" applyBorder="1" applyAlignment="1" applyProtection="1">
      <alignment horizontal="center" vertical="center" textRotation="90" wrapText="1"/>
    </xf>
    <xf numFmtId="0" fontId="6" fillId="6" borderId="30" xfId="0" applyFont="1" applyFill="1" applyBorder="1" applyAlignment="1" applyProtection="1">
      <alignment horizontal="center" vertical="center" textRotation="90" wrapText="1"/>
    </xf>
    <xf numFmtId="0" fontId="6" fillId="6" borderId="35" xfId="0" applyFont="1" applyFill="1" applyBorder="1" applyAlignment="1" applyProtection="1">
      <alignment horizontal="center" vertical="center" wrapText="1"/>
    </xf>
    <xf numFmtId="0" fontId="6" fillId="6" borderId="43"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6" fillId="6" borderId="44" xfId="0" applyFont="1" applyFill="1" applyBorder="1" applyAlignment="1" applyProtection="1">
      <alignment horizontal="center" vertical="center" wrapText="1"/>
    </xf>
    <xf numFmtId="0" fontId="6" fillId="6" borderId="75" xfId="0" applyFont="1" applyFill="1" applyBorder="1" applyAlignment="1" applyProtection="1">
      <alignment horizontal="center" vertical="center" wrapText="1"/>
    </xf>
    <xf numFmtId="0" fontId="0" fillId="0" borderId="75" xfId="0" applyBorder="1" applyAlignment="1" applyProtection="1">
      <alignment horizontal="center" vertical="center" wrapText="1"/>
    </xf>
    <xf numFmtId="0" fontId="6" fillId="6" borderId="37" xfId="0" applyFont="1" applyFill="1" applyBorder="1" applyAlignment="1" applyProtection="1">
      <alignment horizontal="center" vertical="center" wrapText="1"/>
    </xf>
    <xf numFmtId="0" fontId="6" fillId="6" borderId="38" xfId="0" applyFont="1" applyFill="1" applyBorder="1" applyAlignment="1" applyProtection="1">
      <alignment horizontal="center" vertical="center" wrapText="1"/>
    </xf>
    <xf numFmtId="0" fontId="0" fillId="0" borderId="45" xfId="0" applyNumberFormat="1" applyBorder="1" applyAlignment="1" applyProtection="1">
      <alignment horizontal="center" vertical="center" shrinkToFit="1"/>
      <protection locked="0"/>
    </xf>
    <xf numFmtId="0" fontId="0" fillId="0" borderId="46" xfId="0" applyNumberFormat="1" applyBorder="1" applyAlignment="1" applyProtection="1">
      <alignment horizontal="center" vertical="center" shrinkToFit="1"/>
      <protection locked="0"/>
    </xf>
    <xf numFmtId="0" fontId="0" fillId="0" borderId="47" xfId="0" applyNumberFormat="1" applyBorder="1" applyAlignment="1" applyProtection="1">
      <alignment horizontal="center" vertical="center" shrinkToFit="1"/>
      <protection locked="0"/>
    </xf>
    <xf numFmtId="0" fontId="0" fillId="0" borderId="13" xfId="0" applyNumberFormat="1" applyBorder="1" applyAlignment="1" applyProtection="1">
      <alignment horizontal="center" vertical="center"/>
      <protection locked="0"/>
    </xf>
    <xf numFmtId="0" fontId="0" fillId="0" borderId="14" xfId="0" applyNumberFormat="1" applyBorder="1" applyAlignment="1" applyProtection="1">
      <alignment horizontal="center" vertical="center"/>
      <protection locked="0"/>
    </xf>
    <xf numFmtId="0" fontId="0" fillId="0" borderId="45" xfId="0" applyNumberFormat="1" applyBorder="1" applyAlignment="1" applyProtection="1">
      <alignment horizontal="center" vertical="center"/>
      <protection locked="0"/>
    </xf>
    <xf numFmtId="0" fontId="0" fillId="0" borderId="47" xfId="0" applyNumberFormat="1" applyBorder="1" applyAlignment="1" applyProtection="1">
      <alignment horizontal="center" vertical="center"/>
      <protection locked="0"/>
    </xf>
    <xf numFmtId="49" fontId="6" fillId="6" borderId="27" xfId="0" quotePrefix="1" applyNumberFormat="1" applyFont="1" applyFill="1" applyBorder="1" applyAlignment="1" applyProtection="1">
      <alignment horizontal="center" vertical="center" wrapText="1"/>
    </xf>
    <xf numFmtId="49" fontId="6" fillId="6" borderId="32" xfId="0" applyNumberFormat="1"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49" fontId="0" fillId="0" borderId="45" xfId="0" applyNumberFormat="1" applyBorder="1" applyAlignment="1" applyProtection="1">
      <alignment horizontal="center" vertical="center"/>
    </xf>
    <xf numFmtId="49" fontId="0" fillId="0" borderId="47" xfId="0" applyNumberFormat="1" applyBorder="1" applyAlignment="1" applyProtection="1">
      <alignment horizontal="center" vertical="center"/>
    </xf>
    <xf numFmtId="49" fontId="0" fillId="5" borderId="45" xfId="0" applyNumberFormat="1" applyFill="1" applyBorder="1" applyAlignment="1" applyProtection="1">
      <alignment horizontal="center" vertical="center"/>
      <protection locked="0"/>
    </xf>
    <xf numFmtId="49" fontId="0" fillId="5" borderId="47" xfId="0" applyNumberFormat="1" applyFill="1" applyBorder="1" applyAlignment="1" applyProtection="1">
      <alignment horizontal="center" vertical="center"/>
      <protection locked="0"/>
    </xf>
    <xf numFmtId="0" fontId="0" fillId="0" borderId="45" xfId="0" applyNumberFormat="1" applyBorder="1" applyAlignment="1" applyProtection="1">
      <alignment horizontal="center" vertical="center"/>
    </xf>
    <xf numFmtId="0" fontId="0" fillId="0" borderId="47" xfId="0" applyNumberFormat="1" applyBorder="1" applyAlignment="1" applyProtection="1">
      <alignment horizontal="center" vertical="center"/>
    </xf>
    <xf numFmtId="49" fontId="0" fillId="5" borderId="13" xfId="0" applyNumberFormat="1" applyFill="1" applyBorder="1" applyAlignment="1" applyProtection="1">
      <alignment horizontal="center" vertical="center"/>
      <protection locked="0"/>
    </xf>
    <xf numFmtId="49" fontId="0" fillId="5" borderId="14" xfId="0" applyNumberForma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6" fillId="6" borderId="39" xfId="0" applyFont="1" applyFill="1" applyBorder="1" applyAlignment="1" applyProtection="1">
      <alignment horizontal="center" vertical="center" wrapText="1"/>
    </xf>
    <xf numFmtId="0" fontId="6" fillId="6" borderId="39" xfId="0" applyFont="1" applyFill="1" applyBorder="1" applyAlignment="1" applyProtection="1">
      <alignment horizontal="center" vertical="center"/>
    </xf>
    <xf numFmtId="49" fontId="6" fillId="6" borderId="36" xfId="0" applyNumberFormat="1" applyFont="1" applyFill="1" applyBorder="1" applyAlignment="1" applyProtection="1">
      <alignment horizontal="center" vertical="center" wrapText="1"/>
    </xf>
    <xf numFmtId="49" fontId="6" fillId="6" borderId="37" xfId="0" applyNumberFormat="1" applyFont="1" applyFill="1" applyBorder="1" applyAlignment="1" applyProtection="1">
      <alignment horizontal="center" vertical="center" wrapText="1"/>
    </xf>
    <xf numFmtId="49" fontId="6" fillId="6" borderId="38" xfId="0" applyNumberFormat="1" applyFont="1" applyFill="1" applyBorder="1" applyAlignment="1" applyProtection="1">
      <alignment horizontal="center" vertical="center" wrapText="1"/>
    </xf>
    <xf numFmtId="0" fontId="6" fillId="6" borderId="36" xfId="0" applyFont="1" applyFill="1" applyBorder="1" applyAlignment="1" applyProtection="1">
      <alignment horizontal="center" vertical="center" wrapText="1"/>
    </xf>
    <xf numFmtId="168" fontId="0" fillId="5" borderId="11" xfId="0" applyNumberFormat="1" applyFill="1" applyBorder="1" applyAlignment="1" applyProtection="1">
      <alignment horizontal="left" vertical="center"/>
    </xf>
    <xf numFmtId="168" fontId="0" fillId="5" borderId="14" xfId="0" applyNumberFormat="1" applyFill="1" applyBorder="1" applyAlignment="1" applyProtection="1">
      <alignment horizontal="left" vertical="center"/>
    </xf>
    <xf numFmtId="0" fontId="0" fillId="5" borderId="13" xfId="0" applyNumberFormat="1" applyFill="1" applyBorder="1" applyAlignment="1" applyProtection="1">
      <alignment horizontal="left" vertical="center"/>
      <protection locked="0"/>
    </xf>
    <xf numFmtId="0" fontId="0" fillId="5" borderId="14" xfId="0" applyNumberFormat="1" applyFill="1"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8" fillId="0" borderId="7"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66" xfId="0" applyFont="1" applyFill="1" applyBorder="1" applyAlignment="1" applyProtection="1">
      <alignment horizontal="center" vertical="center"/>
    </xf>
    <xf numFmtId="168" fontId="0" fillId="5" borderId="50" xfId="0" applyNumberFormat="1" applyFill="1" applyBorder="1" applyAlignment="1" applyProtection="1">
      <alignment horizontal="left" vertical="center"/>
    </xf>
    <xf numFmtId="168" fontId="0" fillId="5" borderId="51" xfId="0" applyNumberFormat="1" applyFill="1" applyBorder="1" applyAlignment="1" applyProtection="1">
      <alignment horizontal="left" vertical="center"/>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6" fillId="7" borderId="5" xfId="0" applyFont="1" applyFill="1" applyBorder="1" applyAlignment="1" applyProtection="1">
      <alignment horizontal="center" vertical="center"/>
    </xf>
    <xf numFmtId="0" fontId="45" fillId="0" borderId="67" xfId="0" applyFont="1" applyFill="1" applyBorder="1" applyAlignment="1" applyProtection="1">
      <alignment horizontal="center" vertical="center"/>
    </xf>
    <xf numFmtId="0" fontId="45" fillId="0" borderId="2" xfId="0" applyFont="1" applyFill="1" applyBorder="1" applyAlignment="1" applyProtection="1">
      <alignment horizontal="center" vertical="center"/>
    </xf>
    <xf numFmtId="49" fontId="0" fillId="5" borderId="52" xfId="0" applyNumberFormat="1" applyFill="1" applyBorder="1" applyAlignment="1" applyProtection="1">
      <alignment horizontal="right" vertical="center"/>
      <protection locked="0"/>
    </xf>
    <xf numFmtId="49" fontId="0" fillId="5" borderId="50" xfId="0" applyNumberFormat="1" applyFill="1" applyBorder="1" applyAlignment="1" applyProtection="1">
      <alignment horizontal="right" vertical="center"/>
      <protection locked="0"/>
    </xf>
    <xf numFmtId="49" fontId="0" fillId="5" borderId="11" xfId="0" applyNumberFormat="1" applyFill="1" applyBorder="1" applyAlignment="1" applyProtection="1">
      <alignment horizontal="left" vertical="center"/>
      <protection locked="0"/>
    </xf>
    <xf numFmtId="49" fontId="0" fillId="5" borderId="14" xfId="0" applyNumberFormat="1" applyFill="1" applyBorder="1" applyAlignment="1" applyProtection="1">
      <alignment horizontal="left" vertical="center"/>
      <protection locked="0"/>
    </xf>
    <xf numFmtId="165" fontId="0" fillId="0" borderId="13" xfId="0" applyNumberFormat="1" applyBorder="1" applyAlignment="1" applyProtection="1">
      <alignment horizontal="left" vertical="center"/>
      <protection locked="0"/>
    </xf>
    <xf numFmtId="165" fontId="0" fillId="0" borderId="14" xfId="0" applyNumberFormat="1" applyBorder="1" applyAlignment="1" applyProtection="1">
      <alignment horizontal="left" vertical="center"/>
      <protection locked="0"/>
    </xf>
    <xf numFmtId="0" fontId="45" fillId="0" borderId="66" xfId="0" applyFont="1" applyFill="1" applyBorder="1" applyAlignment="1" applyProtection="1">
      <alignment horizontal="center" vertical="center"/>
    </xf>
    <xf numFmtId="0" fontId="0" fillId="0" borderId="28" xfId="0" applyBorder="1" applyAlignment="1" applyProtection="1">
      <alignment horizontal="center" vertical="center" wrapText="1"/>
      <protection locked="0"/>
    </xf>
    <xf numFmtId="49" fontId="0" fillId="5" borderId="26" xfId="0" applyNumberFormat="1" applyFill="1" applyBorder="1" applyAlignment="1" applyProtection="1">
      <alignment horizontal="left" vertical="center"/>
      <protection locked="0"/>
    </xf>
    <xf numFmtId="49" fontId="0" fillId="5" borderId="15" xfId="0" applyNumberFormat="1" applyFill="1" applyBorder="1" applyAlignment="1" applyProtection="1">
      <alignment horizontal="left" vertical="center"/>
      <protection locked="0"/>
    </xf>
    <xf numFmtId="0" fontId="0" fillId="5" borderId="28" xfId="0" applyFill="1" applyBorder="1" applyAlignment="1" applyProtection="1">
      <alignment horizontal="right" vertical="center"/>
      <protection locked="0"/>
    </xf>
    <xf numFmtId="0" fontId="0" fillId="5" borderId="26" xfId="0" applyFill="1" applyBorder="1" applyAlignment="1" applyProtection="1">
      <alignment horizontal="right" vertical="center"/>
      <protection locked="0"/>
    </xf>
    <xf numFmtId="0" fontId="11" fillId="6" borderId="6" xfId="0" applyFont="1" applyFill="1" applyBorder="1" applyAlignment="1" applyProtection="1">
      <alignment horizontal="right" vertical="center"/>
    </xf>
    <xf numFmtId="0" fontId="6" fillId="6" borderId="6" xfId="0" applyFont="1" applyFill="1" applyBorder="1" applyAlignment="1" applyProtection="1">
      <alignment horizontal="right" vertical="center"/>
    </xf>
    <xf numFmtId="0" fontId="6" fillId="6" borderId="6" xfId="0" applyFont="1" applyFill="1" applyBorder="1" applyAlignment="1" applyProtection="1">
      <alignment horizontal="center" vertical="center"/>
    </xf>
    <xf numFmtId="0" fontId="41" fillId="6" borderId="6" xfId="0" applyFont="1" applyFill="1" applyBorder="1" applyAlignment="1" applyProtection="1">
      <alignment horizontal="center" wrapText="1"/>
    </xf>
    <xf numFmtId="165" fontId="0" fillId="0" borderId="52" xfId="0" applyNumberFormat="1" applyBorder="1" applyAlignment="1" applyProtection="1">
      <alignment horizontal="left" vertical="center"/>
      <protection locked="0"/>
    </xf>
    <xf numFmtId="165" fontId="0" fillId="0" borderId="51" xfId="0" applyNumberFormat="1" applyBorder="1" applyAlignment="1" applyProtection="1">
      <alignment horizontal="left" vertical="center"/>
      <protection locked="0"/>
    </xf>
    <xf numFmtId="0" fontId="0" fillId="5" borderId="52" xfId="0" applyNumberFormat="1" applyFill="1" applyBorder="1" applyAlignment="1" applyProtection="1">
      <alignment horizontal="left" vertical="center"/>
      <protection locked="0"/>
    </xf>
    <xf numFmtId="0" fontId="0" fillId="5" borderId="51" xfId="0" applyNumberFormat="1" applyFill="1" applyBorder="1" applyAlignment="1" applyProtection="1">
      <alignment horizontal="left" vertical="center"/>
      <protection locked="0"/>
    </xf>
    <xf numFmtId="49" fontId="0" fillId="5" borderId="50" xfId="0" applyNumberFormat="1" applyFill="1" applyBorder="1" applyAlignment="1" applyProtection="1">
      <alignment horizontal="left" vertical="center"/>
      <protection locked="0"/>
    </xf>
    <xf numFmtId="49" fontId="0" fillId="5" borderId="51" xfId="0" applyNumberFormat="1" applyFill="1" applyBorder="1" applyAlignment="1" applyProtection="1">
      <alignment horizontal="left" vertical="center"/>
      <protection locked="0"/>
    </xf>
    <xf numFmtId="0" fontId="0" fillId="0" borderId="5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6" fillId="6" borderId="6" xfId="0" applyFont="1" applyFill="1" applyBorder="1" applyAlignment="1" applyProtection="1">
      <alignment horizontal="left" vertical="center"/>
    </xf>
    <xf numFmtId="49" fontId="0" fillId="5" borderId="52" xfId="0" applyNumberFormat="1" applyFill="1" applyBorder="1" applyAlignment="1" applyProtection="1">
      <alignment horizontal="center" vertical="center"/>
      <protection locked="0"/>
    </xf>
    <xf numFmtId="49" fontId="0" fillId="5" borderId="51" xfId="0" applyNumberFormat="1" applyFill="1" applyBorder="1" applyAlignment="1" applyProtection="1">
      <alignment horizontal="center" vertical="center"/>
      <protection locked="0"/>
    </xf>
    <xf numFmtId="0" fontId="0" fillId="0" borderId="52" xfId="0" applyNumberFormat="1" applyBorder="1" applyAlignment="1" applyProtection="1">
      <alignment horizontal="center" vertical="center"/>
      <protection locked="0"/>
    </xf>
    <xf numFmtId="0" fontId="0" fillId="0" borderId="51"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xf>
    <xf numFmtId="49" fontId="0" fillId="0" borderId="51" xfId="0" applyNumberFormat="1" applyBorder="1" applyAlignment="1" applyProtection="1">
      <alignment horizontal="center" vertical="center"/>
    </xf>
    <xf numFmtId="0" fontId="0" fillId="0" borderId="52" xfId="0" applyNumberFormat="1" applyBorder="1" applyAlignment="1" applyProtection="1">
      <alignment horizontal="center" vertical="center"/>
    </xf>
    <xf numFmtId="0" fontId="0" fillId="0" borderId="51" xfId="0" applyNumberFormat="1" applyBorder="1" applyAlignment="1" applyProtection="1">
      <alignment horizontal="center" vertical="center"/>
    </xf>
    <xf numFmtId="0" fontId="6" fillId="6" borderId="41" xfId="0" applyFont="1" applyFill="1" applyBorder="1" applyAlignment="1" applyProtection="1">
      <alignment horizontal="center" vertical="center" wrapText="1"/>
    </xf>
    <xf numFmtId="0" fontId="6" fillId="6" borderId="34"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49" fontId="0" fillId="5" borderId="46" xfId="0" applyNumberFormat="1" applyFill="1" applyBorder="1" applyAlignment="1" applyProtection="1">
      <alignment horizontal="left" vertical="center"/>
      <protection locked="0"/>
    </xf>
    <xf numFmtId="49" fontId="0" fillId="5" borderId="47" xfId="0" applyNumberFormat="1" applyFill="1" applyBorder="1" applyAlignment="1" applyProtection="1">
      <alignment horizontal="left" vertical="center"/>
      <protection locked="0"/>
    </xf>
    <xf numFmtId="0" fontId="11" fillId="6" borderId="31" xfId="0" applyFont="1" applyFill="1" applyBorder="1" applyAlignment="1" applyProtection="1">
      <alignment horizontal="center" vertical="center" wrapText="1"/>
    </xf>
    <xf numFmtId="0" fontId="11" fillId="6" borderId="32" xfId="0" applyFont="1" applyFill="1" applyBorder="1" applyAlignment="1" applyProtection="1">
      <alignment horizontal="center" vertical="center" wrapText="1"/>
    </xf>
    <xf numFmtId="0" fontId="6" fillId="6" borderId="31"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textRotation="90" wrapText="1"/>
    </xf>
    <xf numFmtId="0" fontId="6" fillId="6" borderId="10" xfId="0" applyFont="1" applyFill="1" applyBorder="1" applyAlignment="1" applyProtection="1">
      <alignment horizontal="center" vertical="center" textRotation="90" wrapText="1"/>
    </xf>
    <xf numFmtId="49" fontId="0" fillId="5" borderId="45" xfId="0" applyNumberFormat="1" applyFill="1" applyBorder="1" applyAlignment="1" applyProtection="1">
      <alignment horizontal="right" vertical="center"/>
      <protection locked="0"/>
    </xf>
    <xf numFmtId="49" fontId="0" fillId="5" borderId="46" xfId="0" applyNumberFormat="1" applyFill="1" applyBorder="1" applyAlignment="1" applyProtection="1">
      <alignment horizontal="right" vertical="center"/>
      <protection locked="0"/>
    </xf>
    <xf numFmtId="165" fontId="0" fillId="0" borderId="45" xfId="0" applyNumberFormat="1" applyBorder="1" applyAlignment="1" applyProtection="1">
      <alignment horizontal="left" vertical="center"/>
      <protection locked="0"/>
    </xf>
    <xf numFmtId="165" fontId="0" fillId="0" borderId="47" xfId="0" applyNumberFormat="1" applyBorder="1" applyAlignment="1" applyProtection="1">
      <alignment horizontal="left" vertical="center"/>
      <protection locked="0"/>
    </xf>
    <xf numFmtId="168" fontId="0" fillId="5" borderId="46" xfId="0" applyNumberFormat="1" applyFill="1" applyBorder="1" applyAlignment="1" applyProtection="1">
      <alignment horizontal="left" vertical="center"/>
    </xf>
    <xf numFmtId="168" fontId="0" fillId="5" borderId="47" xfId="0" applyNumberFormat="1" applyFill="1" applyBorder="1" applyAlignment="1" applyProtection="1">
      <alignment horizontal="left" vertical="center"/>
    </xf>
    <xf numFmtId="0" fontId="19" fillId="0" borderId="0" xfId="0" applyFont="1" applyBorder="1" applyAlignment="1" applyProtection="1">
      <alignment horizontal="center" vertical="center"/>
    </xf>
    <xf numFmtId="49" fontId="5" fillId="7" borderId="24" xfId="0" applyNumberFormat="1" applyFont="1" applyFill="1" applyBorder="1" applyAlignment="1" applyProtection="1">
      <alignment horizontal="left" vertical="center" indent="1"/>
      <protection locked="0"/>
    </xf>
    <xf numFmtId="49" fontId="5" fillId="7" borderId="49" xfId="0" applyNumberFormat="1" applyFont="1" applyFill="1" applyBorder="1" applyAlignment="1" applyProtection="1">
      <alignment horizontal="left" vertical="center" indent="1"/>
      <protection locked="0"/>
    </xf>
    <xf numFmtId="49" fontId="5" fillId="7" borderId="23" xfId="0" applyNumberFormat="1" applyFont="1" applyFill="1" applyBorder="1" applyAlignment="1" applyProtection="1">
      <alignment horizontal="left" vertical="center" indent="1"/>
      <protection locked="0"/>
    </xf>
    <xf numFmtId="14" fontId="5" fillId="7" borderId="24" xfId="0" applyNumberFormat="1" applyFont="1" applyFill="1" applyBorder="1" applyAlignment="1" applyProtection="1">
      <alignment horizontal="left" vertical="center" indent="1"/>
      <protection locked="0"/>
    </xf>
    <xf numFmtId="14" fontId="5" fillId="7" borderId="49" xfId="0" applyNumberFormat="1" applyFont="1" applyFill="1" applyBorder="1" applyAlignment="1" applyProtection="1">
      <alignment horizontal="left" vertical="center" indent="1"/>
      <protection locked="0"/>
    </xf>
    <xf numFmtId="14" fontId="5" fillId="7" borderId="23" xfId="0" applyNumberFormat="1" applyFont="1" applyFill="1" applyBorder="1" applyAlignment="1" applyProtection="1">
      <alignment horizontal="left" vertical="center" indent="1"/>
      <protection locked="0"/>
    </xf>
    <xf numFmtId="0" fontId="2"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18" fillId="0" borderId="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xf>
    <xf numFmtId="0" fontId="18" fillId="0" borderId="67" xfId="0" applyFont="1" applyFill="1" applyBorder="1" applyAlignment="1" applyProtection="1">
      <alignment horizontal="center" vertical="center"/>
    </xf>
    <xf numFmtId="0" fontId="47" fillId="0" borderId="0" xfId="0" applyFont="1" applyFill="1" applyAlignment="1" applyProtection="1">
      <alignment horizontal="justify" vertical="top" wrapText="1"/>
    </xf>
    <xf numFmtId="0" fontId="0" fillId="0" borderId="0" xfId="0" applyAlignment="1">
      <alignment horizontal="justify" vertical="top" wrapText="1"/>
    </xf>
    <xf numFmtId="0" fontId="0" fillId="0" borderId="0" xfId="0" applyAlignment="1">
      <alignment vertical="top" wrapText="1"/>
    </xf>
    <xf numFmtId="0" fontId="6" fillId="12" borderId="41" xfId="0" applyFont="1" applyFill="1" applyBorder="1" applyAlignment="1" applyProtection="1">
      <alignment horizontal="center" vertical="center" textRotation="90" wrapText="1"/>
    </xf>
    <xf numFmtId="0" fontId="6" fillId="12" borderId="42" xfId="0" applyFont="1" applyFill="1" applyBorder="1" applyAlignment="1" applyProtection="1">
      <alignment horizontal="center" vertical="center" textRotation="90" wrapText="1"/>
    </xf>
    <xf numFmtId="0" fontId="0" fillId="0" borderId="52" xfId="0" applyNumberFormat="1" applyBorder="1" applyAlignment="1" applyProtection="1">
      <alignment horizontal="center" vertical="center" shrinkToFit="1"/>
      <protection locked="0"/>
    </xf>
    <xf numFmtId="0" fontId="0" fillId="0" borderId="50" xfId="0" applyNumberFormat="1" applyBorder="1" applyAlignment="1" applyProtection="1">
      <alignment horizontal="center" vertical="center" shrinkToFit="1"/>
      <protection locked="0"/>
    </xf>
    <xf numFmtId="0" fontId="0" fillId="0" borderId="51" xfId="0" applyNumberFormat="1" applyBorder="1" applyAlignment="1" applyProtection="1">
      <alignment horizontal="center" vertical="center" shrinkToFit="1"/>
      <protection locked="0"/>
    </xf>
    <xf numFmtId="0" fontId="6" fillId="19" borderId="86" xfId="0" applyFont="1" applyFill="1" applyBorder="1" applyAlignment="1" applyProtection="1">
      <alignment horizontal="center" vertical="center" textRotation="90" wrapText="1"/>
    </xf>
    <xf numFmtId="0" fontId="6" fillId="19" borderId="82" xfId="0" applyFont="1" applyFill="1" applyBorder="1" applyAlignment="1" applyProtection="1">
      <alignment horizontal="center" vertical="center" textRotation="90" wrapText="1"/>
    </xf>
    <xf numFmtId="0" fontId="34" fillId="6" borderId="0" xfId="0" applyFont="1" applyFill="1" applyBorder="1" applyAlignment="1" applyProtection="1">
      <alignment horizontal="left"/>
    </xf>
    <xf numFmtId="0" fontId="6" fillId="0" borderId="77" xfId="0" applyFont="1" applyFill="1" applyBorder="1" applyAlignment="1" applyProtection="1">
      <alignment horizontal="center" vertical="center" textRotation="90" wrapText="1"/>
    </xf>
    <xf numFmtId="0" fontId="6" fillId="0" borderId="76" xfId="0" applyFont="1" applyFill="1" applyBorder="1" applyAlignment="1" applyProtection="1">
      <alignment horizontal="center" vertical="center" textRotation="90" wrapText="1"/>
    </xf>
    <xf numFmtId="0" fontId="6" fillId="6" borderId="78" xfId="0" applyFont="1" applyFill="1" applyBorder="1" applyAlignment="1" applyProtection="1">
      <alignment horizontal="center" vertical="center" wrapText="1"/>
    </xf>
    <xf numFmtId="0" fontId="6" fillId="6" borderId="79" xfId="0" applyFont="1" applyFill="1" applyBorder="1" applyAlignment="1" applyProtection="1">
      <alignment horizontal="center" vertical="center" wrapText="1"/>
    </xf>
    <xf numFmtId="0" fontId="6" fillId="16" borderId="77" xfId="0" applyFont="1" applyFill="1" applyBorder="1" applyAlignment="1" applyProtection="1">
      <alignment horizontal="center" vertical="center" textRotation="90" wrapText="1"/>
    </xf>
    <xf numFmtId="49" fontId="12" fillId="6" borderId="0" xfId="0" applyNumberFormat="1" applyFont="1" applyFill="1" applyAlignment="1">
      <alignment horizontal="center" vertical="center"/>
    </xf>
    <xf numFmtId="49" fontId="6" fillId="6" borderId="58" xfId="0" applyNumberFormat="1" applyFont="1" applyFill="1" applyBorder="1" applyAlignment="1">
      <alignment horizontal="center"/>
    </xf>
    <xf numFmtId="49" fontId="6" fillId="6" borderId="59" xfId="0" applyNumberFormat="1" applyFont="1" applyFill="1" applyBorder="1" applyAlignment="1">
      <alignment horizontal="center"/>
    </xf>
    <xf numFmtId="49" fontId="6" fillId="6" borderId="60" xfId="0" applyNumberFormat="1" applyFont="1" applyFill="1" applyBorder="1" applyAlignment="1">
      <alignment horizontal="center"/>
    </xf>
    <xf numFmtId="0" fontId="6" fillId="6" borderId="3" xfId="0" applyFont="1" applyFill="1" applyBorder="1" applyAlignment="1">
      <alignment horizontal="center"/>
    </xf>
    <xf numFmtId="0" fontId="6" fillId="6" borderId="5" xfId="0" applyFont="1" applyFill="1" applyBorder="1" applyAlignment="1">
      <alignment horizontal="center"/>
    </xf>
    <xf numFmtId="0" fontId="24" fillId="8" borderId="1" xfId="0" applyFont="1" applyFill="1" applyBorder="1" applyAlignment="1">
      <alignment horizontal="center" vertical="center"/>
    </xf>
    <xf numFmtId="0" fontId="6" fillId="6" borderId="4" xfId="0" applyFont="1" applyFill="1" applyBorder="1" applyAlignment="1">
      <alignment horizontal="center"/>
    </xf>
    <xf numFmtId="0" fontId="32" fillId="6" borderId="1" xfId="0" applyFont="1" applyFill="1" applyBorder="1" applyAlignment="1">
      <alignment horizontal="center"/>
    </xf>
    <xf numFmtId="0" fontId="32" fillId="6" borderId="3" xfId="0" applyFont="1" applyFill="1" applyBorder="1" applyAlignment="1">
      <alignment horizontal="center"/>
    </xf>
    <xf numFmtId="0" fontId="32" fillId="6" borderId="4" xfId="0" applyFont="1" applyFill="1" applyBorder="1" applyAlignment="1">
      <alignment horizontal="center"/>
    </xf>
    <xf numFmtId="0" fontId="32" fillId="6" borderId="5" xfId="0" applyFont="1" applyFill="1" applyBorder="1" applyAlignment="1">
      <alignment horizontal="center"/>
    </xf>
    <xf numFmtId="0" fontId="33" fillId="6" borderId="1" xfId="0" applyFont="1" applyFill="1" applyBorder="1" applyAlignment="1">
      <alignment horizontal="center"/>
    </xf>
    <xf numFmtId="0" fontId="6" fillId="6" borderId="1" xfId="0" applyFont="1" applyFill="1" applyBorder="1" applyAlignment="1">
      <alignment horizontal="center"/>
    </xf>
    <xf numFmtId="0" fontId="0" fillId="0" borderId="1" xfId="0" applyBorder="1" applyAlignment="1"/>
    <xf numFmtId="49" fontId="6" fillId="6" borderId="1" xfId="0" applyNumberFormat="1" applyFont="1" applyFill="1" applyBorder="1" applyAlignment="1">
      <alignment horizontal="center"/>
    </xf>
  </cellXfs>
  <cellStyles count="6">
    <cellStyle name="Gut" xfId="3" builtinId="26"/>
    <cellStyle name="Neutral" xfId="2" builtinId="28"/>
    <cellStyle name="Schlecht" xfId="1" builtinId="27"/>
    <cellStyle name="Standard" xfId="0" builtinId="0"/>
    <cellStyle name="Standard 2" xfId="5" xr:uid="{00000000-0005-0000-0000-000004000000}"/>
    <cellStyle name="Standard_Knicktabellen_S460" xfId="4" xr:uid="{00000000-0005-0000-0000-000005000000}"/>
  </cellStyles>
  <dxfs count="597">
    <dxf>
      <numFmt numFmtId="30" formatCode="@"/>
    </dxf>
    <dxf>
      <numFmt numFmtId="30" formatCode="@"/>
    </dxf>
    <dxf>
      <numFmt numFmtId="30" formatCode="@"/>
    </dxf>
    <dxf>
      <numFmt numFmtId="30" formatCode="@"/>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border outline="0">
        <bottom style="thin">
          <color theme="4" tint="0.39997558519241921"/>
        </bottom>
      </border>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border outline="0">
        <bottom style="thin">
          <color theme="4" tint="0.39997558519241921"/>
        </bottom>
      </border>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theme="4" tint="0.39997558519241921"/>
        </bottom>
      </border>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theme="4" tint="0.39997558519241921"/>
        </bottom>
      </border>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30" formatCode="@"/>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165" formatCode="&quot;-&quot;#"/>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fill>
        <patternFill>
          <bgColor rgb="FFFFEB9C"/>
        </patternFill>
      </fill>
    </dxf>
    <dxf>
      <fill>
        <patternFill>
          <bgColor rgb="FFC6EF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theme="9"/>
        </patternFill>
      </fill>
    </dxf>
    <dxf>
      <fill>
        <patternFill>
          <bgColor rgb="FFC6EFCE"/>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C6EFCE"/>
        </patternFill>
      </fill>
    </dxf>
    <dxf>
      <font>
        <b/>
        <i val="0"/>
        <color rgb="FF9C0006"/>
      </font>
    </dxf>
    <dxf>
      <fill>
        <patternFill>
          <bgColor rgb="FFFFEB9C"/>
        </patternFill>
      </fill>
    </dxf>
    <dxf>
      <fill>
        <patternFill>
          <bgColor rgb="FFC6EFCE"/>
        </patternFill>
      </fill>
    </dxf>
    <dxf>
      <fill>
        <patternFill>
          <bgColor rgb="FFFFC7CE"/>
        </patternFill>
      </fill>
    </dxf>
    <dxf>
      <fill>
        <patternFill>
          <bgColor rgb="FFC6EFCE"/>
        </patternFill>
      </fill>
    </dxf>
    <dxf>
      <fill>
        <patternFill>
          <bgColor rgb="FFC6EFCE"/>
        </patternFill>
      </fill>
    </dxf>
    <dxf>
      <fill>
        <patternFill>
          <bgColor rgb="FFC6EFCE"/>
        </patternFill>
      </fill>
    </dxf>
    <dxf>
      <fill>
        <patternFill>
          <bgColor rgb="FFC6EFCE"/>
        </patternFill>
      </fill>
    </dxf>
    <dxf>
      <font>
        <b/>
        <i val="0"/>
        <color rgb="FF9C0006"/>
      </font>
    </dxf>
    <dxf>
      <fill>
        <patternFill>
          <bgColor rgb="FFFFEB9C"/>
        </patternFill>
      </fill>
    </dxf>
    <dxf>
      <fill>
        <patternFill>
          <bgColor rgb="FFFFC7CE"/>
        </patternFill>
      </fill>
    </dxf>
    <dxf>
      <font>
        <b/>
        <i val="0"/>
        <color rgb="FFC00000"/>
      </font>
    </dxf>
    <dxf>
      <fill>
        <patternFill>
          <bgColor rgb="FFFFC7CE"/>
        </patternFill>
      </fill>
    </dxf>
    <dxf>
      <fill>
        <patternFill>
          <bgColor rgb="FFFFC7CE"/>
        </patternFill>
      </fill>
    </dxf>
    <dxf>
      <fill>
        <patternFill>
          <bgColor rgb="FFFFEB9C"/>
        </patternFill>
      </fill>
    </dxf>
  </dxfs>
  <tableStyles count="0" defaultTableStyle="TableStyleMedium2" defaultPivotStyle="PivotStyleLight16"/>
  <colors>
    <mruColors>
      <color rgb="FFC6EFCE"/>
      <color rgb="FFFFC7CE"/>
      <color rgb="FFFFEB9C"/>
      <color rgb="FFFFFF99"/>
      <color rgb="FF008000"/>
      <color rgb="FF33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42</xdr:col>
      <xdr:colOff>94784</xdr:colOff>
      <xdr:row>32</xdr:row>
      <xdr:rowOff>193811</xdr:rowOff>
    </xdr:from>
    <xdr:to>
      <xdr:col>50</xdr:col>
      <xdr:colOff>323849</xdr:colOff>
      <xdr:row>38</xdr:row>
      <xdr:rowOff>114147</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l="14069" t="5466" r="15233" b="6000"/>
        <a:stretch/>
      </xdr:blipFill>
      <xdr:spPr>
        <a:xfrm>
          <a:off x="9648359" y="7308986"/>
          <a:ext cx="1848315" cy="1634836"/>
        </a:xfrm>
        <a:prstGeom prst="rect">
          <a:avLst/>
        </a:prstGeom>
      </xdr:spPr>
    </xdr:pic>
    <xdr:clientData/>
  </xdr:twoCellAnchor>
  <xdr:twoCellAnchor>
    <xdr:from>
      <xdr:col>26</xdr:col>
      <xdr:colOff>47625</xdr:colOff>
      <xdr:row>29</xdr:row>
      <xdr:rowOff>114300</xdr:rowOff>
    </xdr:from>
    <xdr:to>
      <xdr:col>27</xdr:col>
      <xdr:colOff>109125</xdr:colOff>
      <xdr:row>29</xdr:row>
      <xdr:rowOff>114300</xdr:rowOff>
    </xdr:to>
    <xdr:cxnSp macro="">
      <xdr:nvCxnSpPr>
        <xdr:cNvPr id="9" name="Gerade Verbindung mit Pfeil 8">
          <a:extLst>
            <a:ext uri="{FF2B5EF4-FFF2-40B4-BE49-F238E27FC236}">
              <a16:creationId xmlns:a16="http://schemas.microsoft.com/office/drawing/2014/main" id="{00000000-0008-0000-0000-000009000000}"/>
            </a:ext>
          </a:extLst>
        </xdr:cNvPr>
        <xdr:cNvCxnSpPr/>
      </xdr:nvCxnSpPr>
      <xdr:spPr>
        <a:xfrm>
          <a:off x="5800725" y="6648450"/>
          <a:ext cx="252000" cy="0"/>
        </a:xfrm>
        <a:prstGeom prst="straightConnector1">
          <a:avLst/>
        </a:prstGeom>
        <a:ln w="952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0</xdr:row>
      <xdr:rowOff>0</xdr:rowOff>
    </xdr:from>
    <xdr:to>
      <xdr:col>53</xdr:col>
      <xdr:colOff>0</xdr:colOff>
      <xdr:row>1</xdr:row>
      <xdr:rowOff>0</xdr:rowOff>
    </xdr:to>
    <xdr:sp macro="" textlink="">
      <xdr:nvSpPr>
        <xdr:cNvPr id="7" name="Textfeld 6">
          <a:extLst>
            <a:ext uri="{FF2B5EF4-FFF2-40B4-BE49-F238E27FC236}">
              <a16:creationId xmlns:a16="http://schemas.microsoft.com/office/drawing/2014/main" id="{A45553E4-2E1E-4E9E-9C75-080C23EF06E7}"/>
            </a:ext>
          </a:extLst>
        </xdr:cNvPr>
        <xdr:cNvSpPr txBox="1"/>
      </xdr:nvSpPr>
      <xdr:spPr>
        <a:xfrm>
          <a:off x="2676525" y="0"/>
          <a:ext cx="966787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2000" b="1"/>
            <a:t>Formulaire</a:t>
          </a:r>
          <a:r>
            <a:rPr lang="de-CH" sz="2000" b="1" baseline="0"/>
            <a:t> de commande </a:t>
          </a:r>
          <a:r>
            <a:rPr lang="de-CH" sz="2000" b="1" baseline="0">
              <a:solidFill>
                <a:schemeClr val="accent1"/>
              </a:solidFill>
            </a:rPr>
            <a:t>ebea KP Raccords isolants de dalles en port-à-faux</a:t>
          </a:r>
          <a:endParaRPr lang="de-CH" sz="2000" b="1">
            <a:solidFill>
              <a:schemeClr val="accent1"/>
            </a:solidFill>
          </a:endParaRPr>
        </a:p>
      </xdr:txBody>
    </xdr:sp>
    <xdr:clientData/>
  </xdr:twoCellAnchor>
  <xdr:twoCellAnchor editAs="oneCell">
    <xdr:from>
      <xdr:col>0</xdr:col>
      <xdr:colOff>114300</xdr:colOff>
      <xdr:row>0</xdr:row>
      <xdr:rowOff>85725</xdr:rowOff>
    </xdr:from>
    <xdr:to>
      <xdr:col>11</xdr:col>
      <xdr:colOff>98775</xdr:colOff>
      <xdr:row>0</xdr:row>
      <xdr:rowOff>517725</xdr:rowOff>
    </xdr:to>
    <xdr:pic>
      <xdr:nvPicPr>
        <xdr:cNvPr id="3" name="Grafik 2">
          <a:extLst>
            <a:ext uri="{FF2B5EF4-FFF2-40B4-BE49-F238E27FC236}">
              <a16:creationId xmlns:a16="http://schemas.microsoft.com/office/drawing/2014/main" id="{6F478394-05B7-40E7-A65F-525CF46D11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85725"/>
          <a:ext cx="2813400" cy="432000"/>
        </a:xfrm>
        <a:prstGeom prst="rect">
          <a:avLst/>
        </a:prstGeom>
      </xdr:spPr>
    </xdr:pic>
    <xdr:clientData/>
  </xdr:twoCellAnchor>
  <xdr:twoCellAnchor editAs="oneCell">
    <xdr:from>
      <xdr:col>57</xdr:col>
      <xdr:colOff>161925</xdr:colOff>
      <xdr:row>0</xdr:row>
      <xdr:rowOff>0</xdr:rowOff>
    </xdr:from>
    <xdr:to>
      <xdr:col>65</xdr:col>
      <xdr:colOff>466725</xdr:colOff>
      <xdr:row>10</xdr:row>
      <xdr:rowOff>163842</xdr:rowOff>
    </xdr:to>
    <xdr:pic>
      <xdr:nvPicPr>
        <xdr:cNvPr id="6" name="Grafik 5">
          <a:extLst>
            <a:ext uri="{FF2B5EF4-FFF2-40B4-BE49-F238E27FC236}">
              <a16:creationId xmlns:a16="http://schemas.microsoft.com/office/drawing/2014/main" id="{5F33A6A5-B495-43DB-A567-BE3079A37029}"/>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13525500" y="0"/>
          <a:ext cx="4295775" cy="25927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KP100." displayName="KP100." ref="B6:B7" totalsRowShown="0" headerRowDxfId="554" dataDxfId="553">
  <autoFilter ref="B6:B7" xr:uid="{00000000-0009-0000-0100-000001000000}"/>
  <tableColumns count="1">
    <tableColumn id="1" xr3:uid="{00000000-0010-0000-0000-000001000000}" name="KP100." dataDxfId="5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KP900." displayName="KP900." ref="T6:T12" totalsRowShown="0" headerRowDxfId="527" dataDxfId="526">
  <autoFilter ref="T6:T12" xr:uid="{00000000-0009-0000-0100-00000A000000}"/>
  <tableColumns count="1">
    <tableColumn id="1" xr3:uid="{00000000-0010-0000-0900-000001000000}" name="KP900." dataDxfId="525"/>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63000000}" name="KPE300A." displayName="KPE300A." ref="J18:J19" totalsRowShown="0" headerRowDxfId="257" dataDxfId="256">
  <autoFilter ref="J18:J19" xr:uid="{00000000-0009-0000-0100-000096000000}"/>
  <tableColumns count="1">
    <tableColumn id="1" xr3:uid="{00000000-0010-0000-6300-000001000000}" name="KPE300A." dataDxfId="255"/>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64000000}" name="KP500A." displayName="KP500A." ref="L18:L20" totalsRowShown="0" headerRowDxfId="254" dataDxfId="253">
  <autoFilter ref="L18:L20" xr:uid="{00000000-0009-0000-0100-000097000000}"/>
  <tableColumns count="1">
    <tableColumn id="1" xr3:uid="{00000000-0010-0000-6400-000001000000}" name="KP500A." dataDxfId="252"/>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65000000}" name="KP600A." displayName="KP600A." ref="N18:N20" totalsRowShown="0" headerRowDxfId="251" dataDxfId="250">
  <autoFilter ref="N18:N20" xr:uid="{00000000-0009-0000-0100-000098000000}"/>
  <tableColumns count="1">
    <tableColumn id="1" xr3:uid="{00000000-0010-0000-6500-000001000000}" name="KP600A." dataDxfId="249"/>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66000000}" name="KP700A." displayName="KP700A." ref="P18:P20" totalsRowShown="0" headerRowDxfId="248" dataDxfId="247">
  <autoFilter ref="P18:P20" xr:uid="{00000000-0009-0000-0100-000099000000}"/>
  <tableColumns count="1">
    <tableColumn id="1" xr3:uid="{00000000-0010-0000-6600-000001000000}" name="KP700A." dataDxfId="246"/>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67000000}" name="KP800A." displayName="KP800A." ref="R18:R20" totalsRowShown="0" headerRowDxfId="245" dataDxfId="244">
  <autoFilter ref="R18:R20" xr:uid="{00000000-0009-0000-0100-00009A000000}"/>
  <tableColumns count="1">
    <tableColumn id="1" xr3:uid="{00000000-0010-0000-6700-000001000000}" name="KP800A." dataDxfId="243"/>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68000000}" name="KP900A." displayName="KP900A." ref="T18:T20" totalsRowShown="0" headerRowDxfId="242" dataDxfId="241">
  <autoFilter ref="T18:T20" xr:uid="{00000000-0009-0000-0100-00009B000000}"/>
  <tableColumns count="1">
    <tableColumn id="1" xr3:uid="{00000000-0010-0000-6800-000001000000}" name="KP900A." dataDxfId="240"/>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69000000}" name="KPE900A." displayName="KPE900A." ref="V18:V20" totalsRowShown="0" headerRowDxfId="239" dataDxfId="238">
  <autoFilter ref="V18:V20" xr:uid="{00000000-0009-0000-0100-00009C000000}"/>
  <tableColumns count="1">
    <tableColumn id="1" xr3:uid="{00000000-0010-0000-6900-000001000000}" name="KPE900A." dataDxfId="237"/>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6A000000}" name="KP1000A." displayName="KP1000A." ref="X18:X20" totalsRowShown="0" headerRowDxfId="236" dataDxfId="235">
  <autoFilter ref="X18:X20" xr:uid="{00000000-0009-0000-0100-00009D000000}"/>
  <tableColumns count="1">
    <tableColumn id="1" xr3:uid="{00000000-0010-0000-6A00-000001000000}" name="KP1000A." dataDxfId="234"/>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6B000000}" name="KP1100A." displayName="KP1100A." ref="Z18:Z21" totalsRowShown="0" headerRowDxfId="233" dataDxfId="232">
  <autoFilter ref="Z18:Z21" xr:uid="{00000000-0009-0000-0100-00009E000000}"/>
  <tableColumns count="1">
    <tableColumn id="1" xr3:uid="{00000000-0010-0000-6B00-000001000000}" name="KP1100A." dataDxfId="231"/>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0000000-000C-0000-FFFF-FFFF6C000000}" name="KP1200A." displayName="KP1200A." ref="AB18:AB21" totalsRowShown="0" headerRowDxfId="230" dataDxfId="229">
  <autoFilter ref="AB18:AB21" xr:uid="{00000000-0009-0000-0100-00009F000000}"/>
  <tableColumns count="1">
    <tableColumn id="1" xr3:uid="{00000000-0010-0000-6C00-000001000000}" name="KP1200A." dataDxfId="22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KPE900." displayName="KPE900." ref="V6:V12" totalsRowShown="0" headerRowDxfId="524" dataDxfId="523">
  <autoFilter ref="V6:V12" xr:uid="{00000000-0009-0000-0100-00000B000000}"/>
  <tableColumns count="1">
    <tableColumn id="1" xr3:uid="{00000000-0010-0000-0A00-000001000000}" name="KPE900." dataDxfId="522"/>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6D000000}" name="TypGA." displayName="TypGA." ref="AD18:AD20" totalsRowShown="0" headerRowDxfId="227" dataDxfId="226">
  <autoFilter ref="AD18:AD20" xr:uid="{00000000-0009-0000-0100-0000A0000000}"/>
  <tableColumns count="1">
    <tableColumn id="1" xr3:uid="{00000000-0010-0000-6D00-000001000000}" name="TypGA." dataDxfId="225"/>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6E000000}" name="KP100OQ." displayName="KP100OQ." ref="B67:B69" totalsRowShown="0" headerRowDxfId="224" dataDxfId="223">
  <autoFilter ref="B67:B69" xr:uid="{00000000-0009-0000-0100-0000A2000000}"/>
  <tableColumns count="1">
    <tableColumn id="1" xr3:uid="{00000000-0010-0000-6E00-000001000000}" name="KP100OQ." dataDxfId="222"/>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6F000000}" name="KPE100OQ." displayName="KPE100OQ." ref="D67:D69" totalsRowShown="0" headerRowDxfId="221" dataDxfId="220">
  <autoFilter ref="D67:D69" xr:uid="{00000000-0009-0000-0100-0000A3000000}"/>
  <tableColumns count="1">
    <tableColumn id="1" xr3:uid="{00000000-0010-0000-6F00-000001000000}" name="KPE100OQ." dataDxfId="219"/>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70000000}" name="KP200OQ." displayName="KP200OQ." ref="F67:F69" totalsRowShown="0" headerRowDxfId="218" dataDxfId="217">
  <autoFilter ref="F67:F69" xr:uid="{00000000-0009-0000-0100-0000A4000000}"/>
  <tableColumns count="1">
    <tableColumn id="1" xr3:uid="{00000000-0010-0000-7000-000001000000}" name="KP200OQ." dataDxfId="216"/>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71000000}" name="KP300OQ." displayName="KP300OQ." ref="H67:H69" totalsRowShown="0" headerRowDxfId="215" dataDxfId="214">
  <autoFilter ref="H67:H69" xr:uid="{00000000-0009-0000-0100-0000A5000000}"/>
  <tableColumns count="1">
    <tableColumn id="1" xr3:uid="{00000000-0010-0000-7100-000001000000}" name="KP300OQ." dataDxfId="213"/>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72000000}" name="KPE300OQ." displayName="KPE300OQ." ref="J67:J69" totalsRowShown="0" headerRowDxfId="212" dataDxfId="211">
  <autoFilter ref="J67:J69" xr:uid="{00000000-0009-0000-0100-0000A6000000}"/>
  <tableColumns count="1">
    <tableColumn id="1" xr3:uid="{00000000-0010-0000-7200-000001000000}" name="KPE300OQ." dataDxfId="210"/>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73000000}" name="KP500OQ." displayName="KP500OQ." ref="L67:L69" totalsRowShown="0" headerRowDxfId="209" dataDxfId="208">
  <autoFilter ref="L67:L69" xr:uid="{00000000-0009-0000-0100-0000A7000000}"/>
  <tableColumns count="1">
    <tableColumn id="1" xr3:uid="{00000000-0010-0000-7300-000001000000}" name="KP500OQ." dataDxfId="207"/>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74000000}" name="KP600OQ." displayName="KP600OQ." ref="N67:N68" insertRow="1" totalsRowShown="0" headerRowDxfId="206" dataDxfId="205">
  <autoFilter ref="N67:N68" xr:uid="{00000000-0009-0000-0100-0000A8000000}"/>
  <tableColumns count="1">
    <tableColumn id="1" xr3:uid="{00000000-0010-0000-7400-000001000000}" name="KP600OQ." dataDxfId="204"/>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0000000-000C-0000-FFFF-FFFF75000000}" name="KP700OQ." displayName="KP700OQ." ref="P67:P69" totalsRowShown="0" headerRowDxfId="203" dataDxfId="202">
  <autoFilter ref="P67:P69" xr:uid="{00000000-0009-0000-0100-0000A9000000}"/>
  <tableColumns count="1">
    <tableColumn id="1" xr3:uid="{00000000-0010-0000-7500-000001000000}" name="KP700OQ." dataDxfId="201"/>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00000000-000C-0000-FFFF-FFFF76000000}" name="KP800OQ." displayName="KP800OQ." ref="R67:R69" totalsRowShown="0" headerRowDxfId="200" dataDxfId="199">
  <autoFilter ref="R67:R69" xr:uid="{00000000-0009-0000-0100-0000AA000000}"/>
  <tableColumns count="1">
    <tableColumn id="1" xr3:uid="{00000000-0010-0000-7600-000001000000}" name="KP800OQ." dataDxfId="19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KP1000." displayName="KP1000." ref="X6:X13" totalsRowShown="0" headerRowDxfId="521" dataDxfId="520">
  <autoFilter ref="X6:X13" xr:uid="{00000000-0009-0000-0100-00000C000000}"/>
  <tableColumns count="1">
    <tableColumn id="1" xr3:uid="{00000000-0010-0000-0B00-000001000000}" name="KP1000." dataDxfId="519"/>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00000000-000C-0000-FFFF-FFFF77000000}" name="KP900OQ." displayName="KP900OQ." ref="T67:T69" totalsRowShown="0" headerRowDxfId="197" dataDxfId="196">
  <autoFilter ref="T67:T69" xr:uid="{00000000-0009-0000-0100-0000AB000000}"/>
  <tableColumns count="1">
    <tableColumn id="1" xr3:uid="{00000000-0010-0000-7700-000001000000}" name="KP900OQ." dataDxfId="195"/>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00000000-000C-0000-FFFF-FFFF78000000}" name="KPE900OQ." displayName="KPE900OQ." ref="V67:V69" totalsRowShown="0" headerRowDxfId="194" dataDxfId="193">
  <autoFilter ref="V67:V69" xr:uid="{00000000-0009-0000-0100-0000AC000000}"/>
  <tableColumns count="1">
    <tableColumn id="1" xr3:uid="{00000000-0010-0000-7800-000001000000}" name="KPE900OQ." dataDxfId="192"/>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00000000-000C-0000-FFFF-FFFF79000000}" name="KP1000OQ." displayName="KP1000OQ." ref="X67:X69" totalsRowShown="0" headerRowDxfId="191" dataDxfId="190">
  <autoFilter ref="X67:X69" xr:uid="{00000000-0009-0000-0100-0000AD000000}"/>
  <tableColumns count="1">
    <tableColumn id="1" xr3:uid="{00000000-0010-0000-7900-000001000000}" name="KP1000OQ." dataDxfId="189"/>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00000000-000C-0000-FFFF-FFFF7A000000}" name="KP1100OQ." displayName="KP1100OQ." ref="Z67:Z69" totalsRowShown="0" headerRowDxfId="188" dataDxfId="187">
  <autoFilter ref="Z67:Z69" xr:uid="{00000000-0009-0000-0100-0000AE000000}"/>
  <tableColumns count="1">
    <tableColumn id="1" xr3:uid="{00000000-0010-0000-7A00-000001000000}" name="KP1100OQ." dataDxfId="186"/>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00000000-000C-0000-FFFF-FFFF7B000000}" name="KP1200OQ." displayName="KP1200OQ." ref="AB67:AB69" totalsRowShown="0" headerRowDxfId="185" dataDxfId="184">
  <autoFilter ref="AB67:AB69" xr:uid="{00000000-0009-0000-0100-0000AF000000}"/>
  <tableColumns count="1">
    <tableColumn id="1" xr3:uid="{00000000-0010-0000-7B00-000001000000}" name="KP1200OQ." dataDxfId="183"/>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00000000-000C-0000-FFFF-FFFF7C000000}" name="TypGOQ." displayName="TypGOQ." ref="AD67:AD69" totalsRowShown="0" headerRowDxfId="182" dataDxfId="181">
  <autoFilter ref="AD67:AD69" xr:uid="{00000000-0009-0000-0100-0000B0000000}"/>
  <tableColumns count="1">
    <tableColumn id="1" xr3:uid="{00000000-0010-0000-7C00-000001000000}" name="TypGOQ." dataDxfId="180"/>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7D000000}" name="n2." displayName="n2." ref="B93:B94" totalsRowShown="0" headerRowDxfId="179" dataDxfId="178">
  <autoFilter ref="B93:B94" xr:uid="{00000000-0009-0000-0100-00005D000000}"/>
  <tableColumns count="1">
    <tableColumn id="1" xr3:uid="{00000000-0010-0000-7D00-000001000000}" name="n2." dataDxfId="177"/>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7E000000}" name="n3." displayName="n3." ref="D93:D95" totalsRowShown="0" headerRowDxfId="176" dataDxfId="175">
  <autoFilter ref="D93:D95" xr:uid="{00000000-0009-0000-0100-000060000000}"/>
  <tableColumns count="1">
    <tableColumn id="1" xr3:uid="{00000000-0010-0000-7E00-000001000000}" name="n3." dataDxfId="174"/>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7F000000}" name="n4." displayName="n4." ref="F93:F96" totalsRowShown="0" headerRowDxfId="173" dataDxfId="172">
  <autoFilter ref="F93:F96" xr:uid="{00000000-0009-0000-0100-000062000000}"/>
  <tableColumns count="1">
    <tableColumn id="1" xr3:uid="{00000000-0010-0000-7F00-000001000000}" name="n4." dataDxfId="171"/>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80000000}" name="n5." displayName="n5." ref="H93:H97" totalsRowShown="0" headerRowDxfId="170" dataDxfId="169">
  <autoFilter ref="H93:H97" xr:uid="{00000000-0009-0000-0100-000063000000}"/>
  <tableColumns count="1">
    <tableColumn id="1" xr3:uid="{00000000-0010-0000-8000-000001000000}" name="n5." dataDxfId="16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KP1100." displayName="KP1100." ref="Z6:Z14" totalsRowShown="0" headerRowDxfId="518" dataDxfId="517">
  <autoFilter ref="Z6:Z14" xr:uid="{00000000-0009-0000-0100-00000D000000}"/>
  <tableColumns count="1">
    <tableColumn id="1" xr3:uid="{00000000-0010-0000-0C00-000001000000}" name="KP1100." dataDxfId="516"/>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81000000}" name="n6." displayName="n6." ref="J93:J98" totalsRowShown="0" headerRowDxfId="167" dataDxfId="166">
  <autoFilter ref="J93:J98" xr:uid="{00000000-0009-0000-0100-000064000000}"/>
  <tableColumns count="1">
    <tableColumn id="1" xr3:uid="{00000000-0010-0000-8100-000001000000}" name="n6." dataDxfId="165"/>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82000000}" name="n7." displayName="n7." ref="L93:L99" totalsRowShown="0" headerRowDxfId="164" dataDxfId="163">
  <autoFilter ref="L93:L99" xr:uid="{00000000-0009-0000-0100-000065000000}"/>
  <tableColumns count="1">
    <tableColumn id="1" xr3:uid="{00000000-0010-0000-8200-000001000000}" name="n7." dataDxfId="162"/>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83000000}" name="n8." displayName="n8." ref="N93:N100" totalsRowShown="0" headerRowDxfId="161" dataDxfId="160">
  <autoFilter ref="N93:N100" xr:uid="{00000000-0009-0000-0100-000066000000}"/>
  <tableColumns count="1">
    <tableColumn id="1" xr3:uid="{00000000-0010-0000-8300-000001000000}" name="n8." dataDxfId="159"/>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84000000}" name="n9." displayName="n9." ref="P93:P101" totalsRowShown="0" headerRowDxfId="158" dataDxfId="157">
  <autoFilter ref="P93:P101" xr:uid="{00000000-0009-0000-0100-000067000000}"/>
  <tableColumns count="1">
    <tableColumn id="1" xr3:uid="{00000000-0010-0000-8400-000001000000}" name="n9." dataDxfId="156"/>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85000000}" name="n10." displayName="n10." ref="R93:R102" totalsRowShown="0" headerRowDxfId="155" dataDxfId="154">
  <autoFilter ref="R93:R102" xr:uid="{00000000-0009-0000-0100-000068000000}"/>
  <tableColumns count="1">
    <tableColumn id="1" xr3:uid="{00000000-0010-0000-8500-000001000000}" name="n10." dataDxfId="153"/>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86000000}" name="n0." displayName="n0." ref="T93:T103" totalsRowShown="0" headerRowDxfId="152" dataDxfId="151">
  <autoFilter ref="T93:T103" xr:uid="{00000000-0009-0000-0100-000071000000}"/>
  <tableColumns count="1">
    <tableColumn id="1" xr3:uid="{00000000-0010-0000-8600-000001000000}" name="n0." dataDxfId="150"/>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87000000}" name="KP100Sn." displayName="KP100Sn." ref="B72:B81" totalsRowShown="0" headerRowDxfId="149" dataDxfId="148">
  <autoFilter ref="B72:B81" xr:uid="{00000000-0009-0000-0100-000069000000}"/>
  <tableColumns count="1">
    <tableColumn id="1" xr3:uid="{00000000-0010-0000-8700-000001000000}" name="KP100Sn." dataDxfId="147"/>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88000000}" name="KPE100Sn." displayName="KPE100Sn." ref="D72:D81" totalsRowShown="0" headerRowDxfId="146" dataDxfId="145">
  <autoFilter ref="D72:D81" xr:uid="{00000000-0009-0000-0100-00006A000000}"/>
  <tableColumns count="1">
    <tableColumn id="1" xr3:uid="{00000000-0010-0000-8800-000001000000}" name="KPE100Sn." dataDxfId="144"/>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89000000}" name="KP200Sn." displayName="KP200Sn." ref="F72:F81" totalsRowShown="0" headerRowDxfId="143" dataDxfId="142">
  <autoFilter ref="F72:F81" xr:uid="{00000000-0009-0000-0100-00006B000000}"/>
  <tableColumns count="1">
    <tableColumn id="1" xr3:uid="{00000000-0010-0000-8900-000001000000}" name="KP200Sn." dataDxfId="141"/>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8A000000}" name="KP300Sn." displayName="KP300Sn." ref="H72:H79" totalsRowShown="0" headerRowDxfId="140" dataDxfId="139">
  <autoFilter ref="H72:H79" xr:uid="{00000000-0009-0000-0100-00006C000000}"/>
  <tableColumns count="1">
    <tableColumn id="1" xr3:uid="{00000000-0010-0000-8A00-000001000000}" name="KP300Sn." dataDxfId="13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KP1200." displayName="KP1200." ref="AB6:AB14" totalsRowShown="0" headerRowDxfId="515" dataDxfId="514">
  <autoFilter ref="AB6:AB14" xr:uid="{00000000-0009-0000-0100-00000E000000}"/>
  <tableColumns count="1">
    <tableColumn id="1" xr3:uid="{00000000-0010-0000-0D00-000001000000}" name="KP1200." dataDxfId="513"/>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8B000000}" name="KPE300Sn." displayName="KPE300Sn." ref="J72:J79" totalsRowShown="0" headerRowDxfId="137" dataDxfId="136">
  <autoFilter ref="J72:J79" xr:uid="{00000000-0009-0000-0100-00006D000000}"/>
  <tableColumns count="1">
    <tableColumn id="1" xr3:uid="{00000000-0010-0000-8B00-000001000000}" name="KPE300Sn." dataDxfId="135"/>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8C000000}" name="KP500Sn." displayName="KP500Sn." ref="L72:L73" insertRow="1" totalsRowShown="0" headerRowDxfId="134" dataDxfId="133">
  <autoFilter ref="L72:L73" xr:uid="{00000000-0009-0000-0100-00006E000000}"/>
  <tableColumns count="1">
    <tableColumn id="1" xr3:uid="{00000000-0010-0000-8C00-000001000000}" name="KP500Sn." dataDxfId="132"/>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8D000000}" name="KP600Sn." displayName="KP600Sn." ref="N72:N73" insertRow="1" totalsRowShown="0" headerRowDxfId="131" dataDxfId="130">
  <autoFilter ref="N72:N73" xr:uid="{00000000-0009-0000-0100-00006F000000}"/>
  <tableColumns count="1">
    <tableColumn id="1" xr3:uid="{00000000-0010-0000-8D00-000001000000}" name="KP600Sn." dataDxfId="129"/>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8E000000}" name="KP700Sn." displayName="KP700Sn." ref="P72:P81" totalsRowShown="0" headerRowDxfId="128" dataDxfId="127">
  <autoFilter ref="P72:P81" xr:uid="{00000000-0009-0000-0100-000070000000}"/>
  <tableColumns count="1">
    <tableColumn id="1" xr3:uid="{00000000-0010-0000-8E00-000001000000}" name="KP700Sn." dataDxfId="126"/>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8F000000}" name="KP800Sn." displayName="KP800Sn." ref="R72:R73" insertRow="1" totalsRowShown="0" headerRowDxfId="125" dataDxfId="124">
  <autoFilter ref="R72:R73" xr:uid="{00000000-0009-0000-0100-000072000000}"/>
  <tableColumns count="1">
    <tableColumn id="1" xr3:uid="{00000000-0010-0000-8F00-000001000000}" name="KP800Sn." dataDxfId="123"/>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90000000}" name="KP900Sn." displayName="KP900Sn." ref="T72:T81" totalsRowShown="0" headerRowDxfId="122" dataDxfId="121">
  <autoFilter ref="T72:T81" xr:uid="{00000000-0009-0000-0100-000073000000}"/>
  <tableColumns count="1">
    <tableColumn id="1" xr3:uid="{00000000-0010-0000-9000-000001000000}" name="KP900Sn." dataDxfId="120"/>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91000000}" name="KPE900Sn." displayName="KPE900Sn." ref="V72:V81" totalsRowShown="0" headerRowDxfId="119" dataDxfId="118">
  <autoFilter ref="V72:V81" xr:uid="{00000000-0009-0000-0100-000074000000}"/>
  <tableColumns count="1">
    <tableColumn id="1" xr3:uid="{00000000-0010-0000-9100-000001000000}" name="KPE900Sn." dataDxfId="117"/>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92000000}" name="KP1000D.118" displayName="KP1000D.118" ref="X72:X73" insertRow="1" totalsRowShown="0" headerRowDxfId="116" dataDxfId="115">
  <autoFilter ref="X72:X73" xr:uid="{00000000-0009-0000-0100-000075000000}"/>
  <tableColumns count="1">
    <tableColumn id="1" xr3:uid="{00000000-0010-0000-9200-000001000000}" name="KP1000Sn." dataDxfId="114"/>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93000000}" name="KP1100Sn." displayName="KP1100Sn." ref="Z72:Z73" insertRow="1" totalsRowShown="0" headerRowDxfId="113" dataDxfId="112">
  <autoFilter ref="Z72:Z73" xr:uid="{00000000-0009-0000-0100-000076000000}"/>
  <tableColumns count="1">
    <tableColumn id="1" xr3:uid="{00000000-0010-0000-9300-000001000000}" name="KP1100Sn." dataDxfId="111"/>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94000000}" name="KP1200Sn." displayName="KP1200Sn." ref="AB72:AB73" insertRow="1" totalsRowShown="0" headerRowDxfId="110" dataDxfId="109">
  <autoFilter ref="AB72:AB73" xr:uid="{00000000-0009-0000-0100-000077000000}"/>
  <tableColumns count="1">
    <tableColumn id="1" xr3:uid="{00000000-0010-0000-9400-000001000000}" name="KP1200Sn." dataDxfId="10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ypG." displayName="TypG." ref="AD6:AD8" totalsRowShown="0" headerRowDxfId="512" dataDxfId="511">
  <autoFilter ref="AD6:AD8" xr:uid="{00000000-0009-0000-0100-00000F000000}"/>
  <tableColumns count="1">
    <tableColumn id="1" xr3:uid="{00000000-0010-0000-0E00-000001000000}" name="TypG." dataDxfId="510"/>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95000000}" name="TypGSn." displayName="TypGSn." ref="AD72:AD73" insertRow="1" totalsRowShown="0" headerRowDxfId="107" dataDxfId="106">
  <autoFilter ref="AD72:AD73" xr:uid="{00000000-0009-0000-0100-000078000000}"/>
  <tableColumns count="1">
    <tableColumn id="1" xr3:uid="{00000000-0010-0000-9500-000001000000}" name="TypGSn." dataDxfId="105"/>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96000000}" name="KP100Sf." displayName="KP100Sf." ref="B84:B86" totalsRowShown="0" headerRowDxfId="104" dataDxfId="103">
  <autoFilter ref="B84:B86" xr:uid="{00000000-0009-0000-0100-00007B000000}"/>
  <tableColumns count="1">
    <tableColumn id="1" xr3:uid="{00000000-0010-0000-9600-000001000000}" name="KP100Sf." dataDxfId="102"/>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97000000}" name="KPE100Sf." displayName="KPE100Sf." ref="D84:D86" totalsRowShown="0" headerRowDxfId="101" dataDxfId="100">
  <autoFilter ref="D84:D86" xr:uid="{00000000-0009-0000-0100-00007C000000}"/>
  <tableColumns count="1">
    <tableColumn id="1" xr3:uid="{00000000-0010-0000-9700-000001000000}" name="KPE100Sf." dataDxfId="99"/>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98000000}" name="KP200Sf." displayName="KP200Sf." ref="F84:F88" totalsRowShown="0" headerRowDxfId="98" dataDxfId="97">
  <autoFilter ref="F84:F88" xr:uid="{00000000-0009-0000-0100-00007D000000}"/>
  <tableColumns count="1">
    <tableColumn id="1" xr3:uid="{00000000-0010-0000-9800-000001000000}" name="KP200Sf." dataDxfId="96"/>
  </tableColumns>
  <tableStyleInfo name="TableStyleMedium2"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99000000}" name="KP300Sf." displayName="KP300Sf." ref="H84:H86" totalsRowShown="0" headerRowDxfId="95" dataDxfId="94">
  <autoFilter ref="H84:H86" xr:uid="{00000000-0009-0000-0100-00007E000000}"/>
  <tableColumns count="1">
    <tableColumn id="1" xr3:uid="{00000000-0010-0000-9900-000001000000}" name="KP300Sf." dataDxfId="93"/>
  </tableColumns>
  <tableStyleInfo name="TableStyleMedium2" showFirstColumn="0"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9A000000}" name="KPE300Sf." displayName="KPE300Sf." ref="J84:J86" totalsRowShown="0" headerRowDxfId="92" dataDxfId="91">
  <autoFilter ref="J84:J86" xr:uid="{00000000-0009-0000-0100-00007F000000}"/>
  <tableColumns count="1">
    <tableColumn id="1" xr3:uid="{00000000-0010-0000-9A00-000001000000}" name="KPE300Sf." dataDxfId="90"/>
  </tableColumns>
  <tableStyleInfo name="TableStyleMedium2"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9B000000}" name="KP500Sf." displayName="KP500Sf." ref="L84:L85" insertRow="1" totalsRowShown="0" headerRowDxfId="89" dataDxfId="88">
  <autoFilter ref="L84:L85" xr:uid="{00000000-0009-0000-0100-000080000000}"/>
  <tableColumns count="1">
    <tableColumn id="1" xr3:uid="{00000000-0010-0000-9B00-000001000000}" name="KP500Sf." dataDxfId="87"/>
  </tableColumns>
  <tableStyleInfo name="TableStyleMedium2" showFirstColumn="0" showLastColumn="0" showRowStripes="1"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9C000000}" name="KP600Sf." displayName="KP600Sf." ref="N84:N85" insertRow="1" totalsRowShown="0" headerRowDxfId="86" dataDxfId="85">
  <autoFilter ref="N84:N85" xr:uid="{00000000-0009-0000-0100-000081000000}"/>
  <tableColumns count="1">
    <tableColumn id="1" xr3:uid="{00000000-0010-0000-9C00-000001000000}" name="KP600Sf." dataDxfId="84"/>
  </tableColumns>
  <tableStyleInfo name="TableStyleMedium2"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9D000000}" name="KP700Sf." displayName="KP700Sf." ref="P84:P88" totalsRowShown="0" headerRowDxfId="83" dataDxfId="82">
  <autoFilter ref="P84:P88" xr:uid="{00000000-0009-0000-0100-000082000000}"/>
  <tableColumns count="1">
    <tableColumn id="1" xr3:uid="{00000000-0010-0000-9D00-000001000000}" name="KP700Sf." dataDxfId="81"/>
  </tableColumns>
  <tableStyleInfo name="TableStyleMedium2" showFirstColumn="0" showLastColumn="0" showRowStripes="1"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9E000000}" name="KP800Sf." displayName="KP800Sf." ref="R84:R85" insertRow="1" totalsRowShown="0" headerRowDxfId="80" dataDxfId="79">
  <autoFilter ref="R84:R85" xr:uid="{00000000-0009-0000-0100-000083000000}"/>
  <tableColumns count="1">
    <tableColumn id="1" xr3:uid="{00000000-0010-0000-9E00-000001000000}" name="KP800Sf." dataDxfId="7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F000000}" name="KP100D." displayName="KP100D." ref="B30:B39" totalsRowShown="0" headerRowDxfId="509" dataDxfId="508">
  <autoFilter ref="B30:B39" xr:uid="{00000000-0009-0000-0100-000013000000}"/>
  <tableColumns count="1">
    <tableColumn id="1" xr3:uid="{00000000-0010-0000-0F00-000001000000}" name="KP100D." dataDxfId="507"/>
  </tableColumns>
  <tableStyleInfo name="TableStyleMedium2" showFirstColumn="0" showLastColumn="0" showRowStripes="1"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9F000000}" name="KP900Sf." displayName="KP900Sf." ref="T84:T85" totalsRowShown="0" headerRowDxfId="77" dataDxfId="76">
  <autoFilter ref="T84:T85" xr:uid="{00000000-0009-0000-0100-000084000000}"/>
  <tableColumns count="1">
    <tableColumn id="1" xr3:uid="{00000000-0010-0000-9F00-000001000000}" name="KP900Sf." dataDxfId="75"/>
  </tableColumns>
  <tableStyleInfo name="TableStyleMedium2" showFirstColumn="0" showLastColumn="0" showRowStripes="1"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A0000000}" name="KPE900Sf." displayName="KPE900Sf." ref="V84:V85" totalsRowShown="0" headerRowDxfId="74" dataDxfId="73">
  <autoFilter ref="V84:V85" xr:uid="{00000000-0009-0000-0100-000085000000}"/>
  <tableColumns count="1">
    <tableColumn id="1" xr3:uid="{00000000-0010-0000-A000-000001000000}" name="KPE900Sf." dataDxfId="72"/>
  </tableColumns>
  <tableStyleInfo name="TableStyleMedium2"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A1000000}" name="KP1000Sf." displayName="KP1000Sf." ref="X84:X85" insertRow="1" totalsRowShown="0" headerRowDxfId="71" dataDxfId="70">
  <autoFilter ref="X84:X85" xr:uid="{00000000-0009-0000-0100-000086000000}"/>
  <tableColumns count="1">
    <tableColumn id="1" xr3:uid="{00000000-0010-0000-A100-000001000000}" name="KP1000Sf." dataDxfId="69"/>
  </tableColumns>
  <tableStyleInfo name="TableStyleMedium2" showFirstColumn="0" showLastColumn="0" showRowStripes="1"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A2000000}" name="KP1100Sf." displayName="KP1100Sf." ref="Z84:Z86" totalsRowShown="0" headerRowDxfId="68" dataDxfId="67">
  <autoFilter ref="Z84:Z86" xr:uid="{00000000-0009-0000-0100-000087000000}"/>
  <tableColumns count="1">
    <tableColumn id="1" xr3:uid="{00000000-0010-0000-A200-000001000000}" name="KP1100Sf." dataDxfId="66"/>
  </tableColumns>
  <tableStyleInfo name="TableStyleMedium2"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A3000000}" name="KP1200Sf." displayName="KP1200Sf." ref="AB84:AB86" totalsRowShown="0" headerRowDxfId="65" dataDxfId="64">
  <autoFilter ref="AB84:AB86" xr:uid="{00000000-0009-0000-0100-000088000000}"/>
  <tableColumns count="1">
    <tableColumn id="1" xr3:uid="{00000000-0010-0000-A300-000001000000}" name="KP1200Sf." dataDxfId="63"/>
  </tableColumns>
  <tableStyleInfo name="TableStyleMedium2" showFirstColumn="0" showLastColumn="0" showRowStripes="1"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A4000000}" name="TypGSf." displayName="TypGSf." ref="AD84:AD85" totalsRowShown="0" headerRowDxfId="62" dataDxfId="61">
  <autoFilter ref="AD84:AD85" xr:uid="{00000000-0009-0000-0100-000089000000}"/>
  <tableColumns count="1">
    <tableColumn id="1" xr3:uid="{00000000-0010-0000-A400-000001000000}" name="TypGSf." dataDxfId="60"/>
  </tableColumns>
  <tableStyleInfo name="TableStyleMedium2"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A5000000}" name="TypPURIS." displayName="TypPURIS." ref="AF49:AF50" totalsRowShown="0" headerRowDxfId="59" dataDxfId="58" tableBorderDxfId="57">
  <autoFilter ref="AF49:AF50" xr:uid="{00000000-0009-0000-0100-000079000000}"/>
  <tableColumns count="1">
    <tableColumn id="1" xr3:uid="{00000000-0010-0000-A500-000001000000}" name="TypPURIS." dataDxfId="56"/>
  </tableColumns>
  <tableStyleInfo name="TableStyleMedium2" showFirstColumn="0" showLastColumn="0" showRowStripes="1"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159EE0D1-A8C5-49B4-AE3A-365FCDD3AE87}" name="TypH." displayName="TypH." ref="AF6:AF10" totalsRowShown="0" headerRowDxfId="55" dataDxfId="54">
  <autoFilter ref="AF6:AF10" xr:uid="{23C9E5D6-3309-470A-9FBB-4B58DB085F68}"/>
  <tableColumns count="1">
    <tableColumn id="1" xr3:uid="{E841A47D-0480-4F72-B0C6-9B2ED1EB9F84}" name="TypH." dataDxfId="53"/>
  </tableColumns>
  <tableStyleInfo name="TableStyleMedium2"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47543357-28D4-4554-A9B4-CD6B2A2368F0}" name="TypJ." displayName="TypJ." ref="AH6:AH10" totalsRowShown="0" headerRowDxfId="52" dataDxfId="51">
  <autoFilter ref="AH6:AH10" xr:uid="{9EADDFDC-DAC9-4B4B-8426-E3DAC6355477}"/>
  <tableColumns count="1">
    <tableColumn id="1" xr3:uid="{FE56DDEA-304D-41AA-84A0-B6478B2DB0E0}" name="TypJ." dataDxfId="50"/>
  </tableColumns>
  <tableStyleInfo name="TableStyleMedium2" showFirstColumn="0" showLastColumn="0" showRowStripes="1"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B43C4171-B90C-485E-88F9-5A83A8604383}" name="TypHA." displayName="TypHA." ref="AF18:AF19" totalsRowShown="0" headerRowDxfId="49" dataDxfId="48">
  <autoFilter ref="AF18:AF19" xr:uid="{39147449-C397-43E2-968E-CC2488619A30}"/>
  <tableColumns count="1">
    <tableColumn id="1" xr3:uid="{036CD669-C35D-4F3C-BA40-C3FE9A032937}" name="TypHA." dataDxfId="4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KPE100D." displayName="KPE100D." ref="D30:D38" totalsRowShown="0" headerRowDxfId="506" dataDxfId="505">
  <autoFilter ref="D30:D38" xr:uid="{00000000-0009-0000-0100-000014000000}"/>
  <tableColumns count="1">
    <tableColumn id="1" xr3:uid="{00000000-0010-0000-1000-000001000000}" name="KPE100D." dataDxfId="504"/>
  </tableColumns>
  <tableStyleInfo name="TableStyleMedium2"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2ED6805A-AB95-4538-8984-50AFD6857CE0}" name="TypJA." displayName="TypJA." ref="AH18:AH19" totalsRowShown="0" headerRowDxfId="46" dataDxfId="45">
  <autoFilter ref="AH18:AH19" xr:uid="{F96ECC04-E4BD-433E-85D0-97E8FEA5B031}"/>
  <tableColumns count="1">
    <tableColumn id="1" xr3:uid="{2231162A-473D-49CD-8384-66EAEB5938D7}" name="TypJA." dataDxfId="44"/>
  </tableColumns>
  <tableStyleInfo name="TableStyleMedium2" showFirstColumn="0" showLastColumn="0" showRowStripes="1"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BE730C65-25E0-4456-9E8A-CBEC9439EF83}" name="TypQD43D." displayName="TypQD43D." ref="AH30:AH39" totalsRowShown="0" headerRowDxfId="43" dataDxfId="42">
  <autoFilter ref="AH30:AH39" xr:uid="{A39C509F-B2D6-4280-919D-9F233744728B}"/>
  <tableColumns count="1">
    <tableColumn id="1" xr3:uid="{8D5EA315-4C4D-45B8-BA47-0A8B90827E5D}" name="TypQD43D." dataDxfId="41"/>
  </tableColumns>
  <tableStyleInfo name="TableStyleMedium2"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5EC83B2E-EDF2-47CE-86C7-69609026B24D}" name="TypQD51D." displayName="TypQD51D." ref="AJ30:AJ35" totalsRowShown="0" headerRowDxfId="40" dataDxfId="39">
  <autoFilter ref="AJ30:AJ35" xr:uid="{37EAD913-19DF-4B78-B235-279A53255DE8}"/>
  <tableColumns count="1">
    <tableColumn id="1" xr3:uid="{7408D38D-AF54-4D4A-9A4B-AA67AD58B5F1}" name="TypQD51D." dataDxfId="38"/>
  </tableColumns>
  <tableStyleInfo name="TableStyleMedium2" showFirstColumn="0" showLastColumn="0" showRowStripes="1"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7D638EE6-DD81-4149-9B25-02BAC36E94ED}" name="TypHIT." displayName="TypHIT." ref="AF42:AF44" totalsRowShown="0" headerRowDxfId="37" dataDxfId="36" tableBorderDxfId="35">
  <autoFilter ref="AF42:AF44" xr:uid="{923E4227-6F56-40B6-B8A5-F3F7040E2FF9}"/>
  <tableColumns count="1">
    <tableColumn id="1" xr3:uid="{1641BF5E-D7EB-4623-AC67-8455050265E0}" name="TypHIT." dataDxfId="34"/>
  </tableColumns>
  <tableStyleInfo name="TableStyleMedium2"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36D4330F-9F71-42AE-8E6D-C2880B215001}" name="TypJIT." displayName="TypJIT." ref="AH42:AH44" totalsRowShown="0" headerRowDxfId="33" dataDxfId="32" tableBorderDxfId="31">
  <autoFilter ref="AH42:AH44" xr:uid="{1722BA87-5362-4FAD-8F93-5A25450FC576}"/>
  <tableColumns count="1">
    <tableColumn id="1" xr3:uid="{61602532-54FE-423D-A0B1-D71A7A424F7D}" name="TypJIT." dataDxfId="30"/>
  </tableColumns>
  <tableStyleInfo name="TableStyleMedium2" showFirstColumn="0" showLastColumn="0" showRowStripes="1"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1E566482-E285-4903-9FB0-AF453CBA13A7}" name="TypHIS." displayName="TypHIS." ref="AH49:AH51" totalsRowShown="0" headerRowDxfId="29" dataDxfId="28" tableBorderDxfId="27">
  <autoFilter ref="AH49:AH51" xr:uid="{CB123336-C93B-449A-A726-2F9123321F54}"/>
  <tableColumns count="1">
    <tableColumn id="1" xr3:uid="{A6E5AB57-4D1B-4CF5-A0C4-20403FCEB69F}" name="TypHIS." dataDxfId="26"/>
  </tableColumns>
  <tableStyleInfo name="TableStyleMedium2"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E669C659-8CBB-4DBF-AD84-2886A976510A}" name="TypJIS." displayName="TypJIS." ref="AJ49:AJ51" totalsRowShown="0" headerRowDxfId="25" dataDxfId="24" tableBorderDxfId="23">
  <autoFilter ref="AJ49:AJ51" xr:uid="{015472CD-BED4-447B-8A13-156EB7D68E43}"/>
  <tableColumns count="1">
    <tableColumn id="1" xr3:uid="{067AE3DB-767B-44C9-811A-253A05998636}" name="TypJIS." dataDxfId="22"/>
  </tableColumns>
  <tableStyleInfo name="TableStyleMedium2" showFirstColumn="0" showLastColumn="0" showRowStripes="1"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62274BC8-5208-42F0-87A0-F9194603FB92}" name="TypHSn." displayName="TypHSn." ref="AF72:AF73" totalsRowShown="0" headerRowDxfId="21" dataDxfId="20">
  <autoFilter ref="AF72:AF73" xr:uid="{5FB1DF1C-99DA-4A40-A8A7-9DD0DFFF58DE}"/>
  <tableColumns count="1">
    <tableColumn id="1" xr3:uid="{F77B9DD6-8FF8-4807-8A43-3FEF77DCE24A}" name="TypHSn." dataDxfId="19"/>
  </tableColumns>
  <tableStyleInfo name="TableStyleMedium2"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DF09A524-3EEF-46C6-BE22-8130C3A8DE4E}" name="TypJSn." displayName="TypJSn." ref="AH72:AH73" totalsRowShown="0" headerRowDxfId="18" dataDxfId="17">
  <autoFilter ref="AH72:AH73" xr:uid="{54ADFC17-0DA7-49FF-8DAA-AEEC66DD6A37}"/>
  <tableColumns count="1">
    <tableColumn id="1" xr3:uid="{4F0E3CC3-5143-4F09-B831-B1F1C6223938}" name="TypJSn." dataDxfId="16"/>
  </tableColumns>
  <tableStyleInfo name="TableStyleMedium2" showFirstColumn="0" showLastColumn="0" showRowStripes="1"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03A338E5-3DE5-4772-971E-D23BF63A1B88}" name="TypHSf." displayName="TypHSf." ref="AF84:AF85" totalsRowShown="0" headerRowDxfId="15" dataDxfId="14">
  <autoFilter ref="AF84:AF85" xr:uid="{277E9132-7012-4CA9-A34D-8CA52BD976F8}"/>
  <tableColumns count="1">
    <tableColumn id="1" xr3:uid="{E5410C59-08A4-485D-BD9F-B7740DC34FAD}" name="TypHSf." dataDxfId="1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1000000}" name="KP200D." displayName="KP200D." ref="F30:F39" totalsRowShown="0" headerRowDxfId="503" dataDxfId="502">
  <autoFilter ref="F30:F39" xr:uid="{00000000-0009-0000-0100-000015000000}"/>
  <tableColumns count="1">
    <tableColumn id="1" xr3:uid="{00000000-0010-0000-1100-000001000000}" name="KP200D." dataDxfId="501"/>
  </tableColumns>
  <tableStyleInfo name="TableStyleMedium2" showFirstColumn="0" showLastColumn="0" showRowStripes="1"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C0ACF6EB-8295-47FC-898D-2E1C319A1154}" name="TypJSf." displayName="TypJSf." ref="AH84:AH85" totalsRowShown="0" headerRowDxfId="12" dataDxfId="11">
  <autoFilter ref="AH84:AH85" xr:uid="{96C4A5B9-FABA-42E2-B9E8-C7D640D5B8A8}"/>
  <tableColumns count="1">
    <tableColumn id="1" xr3:uid="{3679878C-FD0A-4FBC-AE19-5AADEEC8A533}" name="TypJSf." dataDxfId="10"/>
  </tableColumns>
  <tableStyleInfo name="TableStyleMedium2" showFirstColumn="0" showLastColumn="0" showRowStripes="1"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CD376FF9-AF08-4CCE-9F71-2656A1355EFE}" name="TypHS." displayName="TypHS." ref="AF62:AF63" totalsRowShown="0" headerRowDxfId="9" dataDxfId="8">
  <autoFilter ref="AF62:AF63" xr:uid="{72D81FEA-C94B-4453-BC8C-14601C8A535A}"/>
  <tableColumns count="1">
    <tableColumn id="1" xr3:uid="{7E464F64-47D1-4AF3-A167-036AC6BC2494}" name="TypHS." dataDxfId="7"/>
  </tableColumns>
  <tableStyleInfo name="TableStyleMedium2"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16142963-1D33-4C4F-8DC9-7D81D3B5A2D4}" name="TypJS." displayName="TypJS." ref="AH62:AH63" totalsRowShown="0" headerRowDxfId="6" dataDxfId="5">
  <autoFilter ref="AH62:AH63" xr:uid="{220CCA10-EADF-4EF1-9AEC-8DFAE885E36D}"/>
  <tableColumns count="1">
    <tableColumn id="1" xr3:uid="{E2302C32-196D-44D8-82CB-77525278D6F6}" name="TypJS." dataDxfId="4"/>
  </tableColumns>
  <tableStyleInfo name="TableStyleMedium2" showFirstColumn="0" showLastColumn="0" showRowStripes="1"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2884AAA8-1C0A-40C0-8651-B4A91AD07B39}" name="TypHOQ." displayName="TypHOQ." ref="AF67:AF68" totalsRowShown="0" headerRowDxfId="3">
  <autoFilter ref="AF67:AF68" xr:uid="{155A0151-7B1C-4004-ACD0-2C7E4700035E}"/>
  <tableColumns count="1">
    <tableColumn id="1" xr3:uid="{9AF26803-9ED4-4055-892D-BF8B809FB88F}" name="TypHOQ." dataDxfId="2"/>
  </tableColumns>
  <tableStyleInfo name="TableStyleMedium2" showFirstColumn="0" showLastColumn="0" showRowStripes="1" showColumnStripes="0"/>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ABD876ED-A721-44A8-8F30-16ECF0423DA4}" name="TypJOQ." displayName="TypJOQ." ref="AH67:AH68" totalsRowShown="0" headerRowDxfId="1">
  <autoFilter ref="AH67:AH68" xr:uid="{352B0B74-E71A-4853-BF02-430DB4719D42}"/>
  <tableColumns count="1">
    <tableColumn id="1" xr3:uid="{B8B69ED2-59E1-4F21-99E3-D761B92029D2}" name="TypJOQ." dataDxfId="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2000000}" name="KP300D." displayName="KP300D." ref="H30:H39" totalsRowShown="0" headerRowDxfId="500" dataDxfId="499">
  <autoFilter ref="H30:H39" xr:uid="{00000000-0009-0000-0100-000016000000}"/>
  <tableColumns count="1">
    <tableColumn id="1" xr3:uid="{00000000-0010-0000-1200-000001000000}" name="KP300D." dataDxfId="49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KPE100." displayName="KPE100." ref="D6:D7" totalsRowShown="0" headerRowDxfId="551" dataDxfId="550">
  <autoFilter ref="D6:D7" xr:uid="{00000000-0009-0000-0100-000002000000}"/>
  <tableColumns count="1">
    <tableColumn id="1" xr3:uid="{00000000-0010-0000-0100-000001000000}" name="KPE100." dataDxfId="54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KPE300D." displayName="KPE300D." ref="J30:J38" totalsRowShown="0" headerRowDxfId="497" dataDxfId="496">
  <autoFilter ref="J30:J38" xr:uid="{00000000-0009-0000-0100-000017000000}"/>
  <tableColumns count="1">
    <tableColumn id="1" xr3:uid="{00000000-0010-0000-1300-000001000000}" name="KPE300D." dataDxfId="495"/>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4000000}" name="KP500D." displayName="KP500D." ref="L30:L39" totalsRowShown="0" headerRowDxfId="494" dataDxfId="493">
  <autoFilter ref="L30:L39" xr:uid="{00000000-0009-0000-0100-000018000000}"/>
  <tableColumns count="1">
    <tableColumn id="1" xr3:uid="{00000000-0010-0000-1400-000001000000}" name="KP500D." dataDxfId="49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5000000}" name="KP600D." displayName="KP600D." ref="N30:N32" totalsRowShown="0" headerRowDxfId="491" dataDxfId="490">
  <autoFilter ref="N30:N32" xr:uid="{00000000-0009-0000-0100-000019000000}"/>
  <tableColumns count="1">
    <tableColumn id="1" xr3:uid="{00000000-0010-0000-1500-000001000000}" name="KP600D." dataDxfId="48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6000000}" name="KP700D." displayName="KP700D." ref="P30:P39" totalsRowShown="0" headerRowDxfId="488" dataDxfId="487">
  <autoFilter ref="P30:P39" xr:uid="{00000000-0009-0000-0100-00001A000000}"/>
  <tableColumns count="1">
    <tableColumn id="1" xr3:uid="{00000000-0010-0000-1600-000001000000}" name="KP700D." dataDxfId="486"/>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7000000}" name="KP800D." displayName="KP800D." ref="R30:R39" totalsRowShown="0" headerRowDxfId="485" dataDxfId="484">
  <autoFilter ref="R30:R39" xr:uid="{00000000-0009-0000-0100-00001B000000}"/>
  <tableColumns count="1">
    <tableColumn id="1" xr3:uid="{00000000-0010-0000-1700-000001000000}" name="KP800D." dataDxfId="48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KP900D." displayName="KP900D." ref="T30:T38" totalsRowShown="0" headerRowDxfId="482" dataDxfId="481">
  <autoFilter ref="T30:T38" xr:uid="{00000000-0009-0000-0100-00001C000000}"/>
  <tableColumns count="1">
    <tableColumn id="1" xr3:uid="{00000000-0010-0000-1800-000001000000}" name="KP900D." dataDxfId="48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9000000}" name="KPE900D." displayName="KPE900D." ref="V30:V38" totalsRowShown="0" headerRowDxfId="479" dataDxfId="478">
  <autoFilter ref="V30:V38" xr:uid="{00000000-0009-0000-0100-00001D000000}"/>
  <tableColumns count="1">
    <tableColumn id="1" xr3:uid="{00000000-0010-0000-1900-000001000000}" name="KPE900D." dataDxfId="477"/>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A000000}" name="KP1000D." displayName="KP1000D." ref="X30:X39" totalsRowShown="0" headerRowDxfId="476" dataDxfId="475">
  <autoFilter ref="X30:X39" xr:uid="{00000000-0009-0000-0100-00001E000000}"/>
  <tableColumns count="1">
    <tableColumn id="1" xr3:uid="{00000000-0010-0000-1A00-000001000000}" name="KP1000D." dataDxfId="474"/>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KP1100D." displayName="KP1100D." ref="Z30:Z38" totalsRowShown="0" headerRowDxfId="473" dataDxfId="472">
  <autoFilter ref="Z30:Z38" xr:uid="{00000000-0009-0000-0100-00001F000000}"/>
  <tableColumns count="1">
    <tableColumn id="1" xr3:uid="{00000000-0010-0000-1B00-000001000000}" name="KP1100D." dataDxfId="471"/>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C000000}" name="KP1200D." displayName="KP1200D." ref="AB30:AB38" totalsRowShown="0" headerRowDxfId="470" dataDxfId="469">
  <autoFilter ref="AB30:AB38" xr:uid="{00000000-0009-0000-0100-000020000000}"/>
  <tableColumns count="1">
    <tableColumn id="1" xr3:uid="{00000000-0010-0000-1C00-000001000000}" name="KP1200D." dataDxfId="46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KP200." displayName="KP200." ref="F6:F7" totalsRowShown="0" headerRowDxfId="548" dataDxfId="547">
  <autoFilter ref="F6:F7" xr:uid="{00000000-0009-0000-0100-000003000000}"/>
  <tableColumns count="1">
    <tableColumn id="1" xr3:uid="{00000000-0010-0000-0200-000001000000}" name="KP200." dataDxfId="54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D000000}" name="TypG01D." displayName="TypG01D." ref="AD30:AD39" totalsRowShown="0" headerRowDxfId="467" dataDxfId="466">
  <autoFilter ref="AD30:AD39" xr:uid="{00000000-0009-0000-0100-000021000000}"/>
  <tableColumns count="1">
    <tableColumn id="1" xr3:uid="{00000000-0010-0000-1D00-000001000000}" name="TypG01D." dataDxfId="465"/>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E000000}" name="TypG02D." displayName="TypG02D." ref="AF30:AF36" totalsRowShown="0" headerRowDxfId="464" dataDxfId="463">
  <autoFilter ref="AF30:AF36" xr:uid="{00000000-0009-0000-0100-000022000000}"/>
  <tableColumns count="1">
    <tableColumn id="1" xr3:uid="{00000000-0010-0000-1E00-000001000000}" name="TypG02D." dataDxfId="462"/>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KP100IS." displayName="KP100IS." ref="B49:B53" totalsRowShown="0" headerRowDxfId="461" dataDxfId="460">
  <autoFilter ref="B49:B53" xr:uid="{00000000-0009-0000-0100-000023000000}"/>
  <tableColumns count="1">
    <tableColumn id="1" xr3:uid="{00000000-0010-0000-1F00-000001000000}" name="KP100IS." dataDxfId="459"/>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0000000}" name="KPE100IS." displayName="KPE100IS." ref="D49:D53" totalsRowShown="0" headerRowDxfId="458" dataDxfId="457">
  <autoFilter ref="D49:D53" xr:uid="{00000000-0009-0000-0100-000026000000}"/>
  <tableColumns count="1">
    <tableColumn id="1" xr3:uid="{00000000-0010-0000-2000-000001000000}" name="KPE100IS." dataDxfId="45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1000000}" name="KP200IS." displayName="KP200IS." ref="F49:F53" totalsRowShown="0" headerRowDxfId="455" dataDxfId="454">
  <autoFilter ref="F49:F53" xr:uid="{00000000-0009-0000-0100-000027000000}"/>
  <tableColumns count="1">
    <tableColumn id="1" xr3:uid="{00000000-0010-0000-2100-000001000000}" name="KP200IS." dataDxfId="45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2000000}" name="KP300IS." displayName="KP300IS." ref="H49:H53" totalsRowShown="0" headerRowDxfId="452" dataDxfId="451">
  <autoFilter ref="H49:H53" xr:uid="{00000000-0009-0000-0100-000028000000}"/>
  <tableColumns count="1">
    <tableColumn id="1" xr3:uid="{00000000-0010-0000-2200-000001000000}" name="KP300IS." dataDxfId="450"/>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3000000}" name="KPE300IS." displayName="KPE300IS." ref="J49:J53" totalsRowShown="0" headerRowDxfId="449" dataDxfId="448">
  <autoFilter ref="J49:J53" xr:uid="{00000000-0009-0000-0100-000029000000}"/>
  <tableColumns count="1">
    <tableColumn id="1" xr3:uid="{00000000-0010-0000-2300-000001000000}" name="KPE300IS." dataDxfId="447"/>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4000000}" name="KP500IS." displayName="KP500IS." ref="L49:L53" totalsRowShown="0" headerRowDxfId="446" dataDxfId="445">
  <autoFilter ref="L49:L53" xr:uid="{00000000-0009-0000-0100-00002A000000}"/>
  <tableColumns count="1">
    <tableColumn id="1" xr3:uid="{00000000-0010-0000-2400-000001000000}" name="KP500IS." dataDxfId="444"/>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5000000}" name="KP600IS." displayName="KP600IS." ref="N49:N51" totalsRowShown="0" headerRowDxfId="443" dataDxfId="442">
  <autoFilter ref="N49:N51" xr:uid="{00000000-0009-0000-0100-00002B000000}"/>
  <tableColumns count="1">
    <tableColumn id="1" xr3:uid="{00000000-0010-0000-2500-000001000000}" name="KP600IS." dataDxfId="441"/>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6000000}" name="KP700IS." displayName="KP700IS." ref="P49:P53" totalsRowShown="0" headerRowDxfId="440" dataDxfId="439">
  <autoFilter ref="P49:P53" xr:uid="{00000000-0009-0000-0100-00002C000000}"/>
  <tableColumns count="1">
    <tableColumn id="1" xr3:uid="{00000000-0010-0000-2600-000001000000}" name="KP700IS." dataDxfId="4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KP300." displayName="KP300." ref="H6:H7" totalsRowShown="0" headerRowDxfId="545" dataDxfId="544">
  <autoFilter ref="H6:H7" xr:uid="{00000000-0009-0000-0100-000004000000}"/>
  <tableColumns count="1">
    <tableColumn id="1" xr3:uid="{00000000-0010-0000-0300-000001000000}" name="KP300." dataDxfId="543"/>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7000000}" name="KP800IS." displayName="KP800IS." ref="R49:R51" totalsRowShown="0" headerRowDxfId="437" dataDxfId="436">
  <autoFilter ref="R49:R51" xr:uid="{00000000-0009-0000-0100-00002D000000}"/>
  <tableColumns count="1">
    <tableColumn id="1" xr3:uid="{00000000-0010-0000-2700-000001000000}" name="KP800IS." dataDxfId="435"/>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8000000}" name="KP900IS." displayName="KP900IS." ref="T49:T51" totalsRowShown="0" headerRowDxfId="434" dataDxfId="433">
  <autoFilter ref="T49:T51" xr:uid="{00000000-0009-0000-0100-00002E000000}"/>
  <tableColumns count="1">
    <tableColumn id="1" xr3:uid="{00000000-0010-0000-2800-000001000000}" name="KP900IS." dataDxfId="432"/>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9000000}" name="KPE900IS." displayName="KPE900IS." ref="V49:V51" totalsRowShown="0" headerRowDxfId="431" dataDxfId="430">
  <autoFilter ref="V49:V51" xr:uid="{00000000-0009-0000-0100-00002F000000}"/>
  <tableColumns count="1">
    <tableColumn id="1" xr3:uid="{00000000-0010-0000-2900-000001000000}" name="KPE900IS." dataDxfId="429"/>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A000000}" name="KP1000IS." displayName="KP1000IS." ref="X49:X51" totalsRowShown="0" headerRowDxfId="428" dataDxfId="427">
  <autoFilter ref="X49:X51" xr:uid="{00000000-0009-0000-0100-000030000000}"/>
  <tableColumns count="1">
    <tableColumn id="1" xr3:uid="{00000000-0010-0000-2A00-000001000000}" name="KP1000IS." dataDxfId="426"/>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B000000}" name="KP1100IS." displayName="KP1100IS." ref="Z49:Z53" totalsRowShown="0" headerRowDxfId="425" dataDxfId="424">
  <autoFilter ref="Z49:Z53" xr:uid="{00000000-0009-0000-0100-000031000000}"/>
  <tableColumns count="1">
    <tableColumn id="1" xr3:uid="{00000000-0010-0000-2B00-000001000000}" name="KP1100IS." dataDxfId="423"/>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C000000}" name="KP1200IS." displayName="KP1200IS." ref="AB49:AB53" totalsRowShown="0" headerRowDxfId="422" dataDxfId="421">
  <autoFilter ref="AB49:AB53" xr:uid="{00000000-0009-0000-0100-000032000000}"/>
  <tableColumns count="1">
    <tableColumn id="1" xr3:uid="{00000000-0010-0000-2C00-000001000000}" name="KP1200IS." dataDxfId="420"/>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D000000}" name="TypGIS." displayName="TypGIS." ref="AD49:AD51" totalsRowShown="0" headerRowDxfId="419" dataDxfId="418">
  <autoFilter ref="AD49:AD51" xr:uid="{00000000-0009-0000-0100-000033000000}"/>
  <tableColumns count="1">
    <tableColumn id="1" xr3:uid="{00000000-0010-0000-2D00-000001000000}" name="TypGIS." dataDxfId="417"/>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2E000000}" name="KP100IT." displayName="KP100IT." ref="B42:B45" totalsRowShown="0" headerRowDxfId="416" dataDxfId="415">
  <autoFilter ref="B42:B45" xr:uid="{00000000-0009-0000-0100-000010000000}"/>
  <tableColumns count="1">
    <tableColumn id="1" xr3:uid="{00000000-0010-0000-2E00-000001000000}" name="KP100IT." dataDxfId="414"/>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2F000000}" name="KPE100IT." displayName="KPE100IT." ref="D42:D45" totalsRowShown="0" headerRowDxfId="413" dataDxfId="412">
  <autoFilter ref="D42:D45" xr:uid="{00000000-0009-0000-0100-000011000000}"/>
  <tableColumns count="1">
    <tableColumn id="1" xr3:uid="{00000000-0010-0000-2F00-000001000000}" name="KPE100IT." dataDxfId="411"/>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0000000}" name="KP200IT." displayName="KP200IT." ref="F42:F45" totalsRowShown="0" headerRowDxfId="410" dataDxfId="409">
  <autoFilter ref="F42:F45" xr:uid="{00000000-0009-0000-0100-000012000000}"/>
  <tableColumns count="1">
    <tableColumn id="1" xr3:uid="{00000000-0010-0000-3000-000001000000}" name="KP200IT." dataDxfId="40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KPE300." displayName="KPE300." ref="J6:J7" totalsRowShown="0" headerRowDxfId="542" dataDxfId="541">
  <autoFilter ref="J6:J7" xr:uid="{00000000-0009-0000-0100-000005000000}"/>
  <tableColumns count="1">
    <tableColumn id="1" xr3:uid="{00000000-0010-0000-0400-000001000000}" name="KPE300." dataDxfId="540"/>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31000000}" name="KP300IT." displayName="KP300IT." ref="H42:H45" totalsRowShown="0" headerRowDxfId="407" dataDxfId="406">
  <autoFilter ref="H42:H45" xr:uid="{00000000-0009-0000-0100-000024000000}"/>
  <tableColumns count="1">
    <tableColumn id="1" xr3:uid="{00000000-0010-0000-3100-000001000000}" name="KP300IT." dataDxfId="405"/>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2000000}" name="KPE300IT." displayName="KPE300IT." ref="J42:J45" totalsRowShown="0" headerRowDxfId="404" dataDxfId="403">
  <autoFilter ref="J42:J45" xr:uid="{00000000-0009-0000-0100-000025000000}"/>
  <tableColumns count="1">
    <tableColumn id="1" xr3:uid="{00000000-0010-0000-3200-000001000000}" name="KPE300IT." dataDxfId="402"/>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KP500IT." displayName="KP500IT." ref="L42:L45" totalsRowShown="0" headerRowDxfId="401" dataDxfId="400">
  <autoFilter ref="L42:L45" xr:uid="{00000000-0009-0000-0100-000034000000}"/>
  <tableColumns count="1">
    <tableColumn id="1" xr3:uid="{00000000-0010-0000-3300-000001000000}" name="KP500IT." dataDxfId="399"/>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KP600IT." displayName="KP600IT." ref="N42:N45" totalsRowShown="0" headerRowDxfId="398" dataDxfId="397">
  <autoFilter ref="N42:N45" xr:uid="{00000000-0009-0000-0100-000035000000}"/>
  <tableColumns count="1">
    <tableColumn id="1" xr3:uid="{00000000-0010-0000-3400-000001000000}" name="KP600IT." dataDxfId="396"/>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KP700IT." displayName="KP700IT." ref="P42:P46" totalsRowShown="0" headerRowDxfId="395" dataDxfId="394">
  <autoFilter ref="P42:P46" xr:uid="{00000000-0009-0000-0100-000036000000}"/>
  <tableColumns count="1">
    <tableColumn id="1" xr3:uid="{00000000-0010-0000-3500-000001000000}" name="KP700IT." dataDxfId="393"/>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KP800IT." displayName="KP800IT." ref="R42:R45" totalsRowShown="0" headerRowDxfId="392" dataDxfId="391">
  <autoFilter ref="R42:R45" xr:uid="{00000000-0009-0000-0100-000037000000}"/>
  <tableColumns count="1">
    <tableColumn id="1" xr3:uid="{00000000-0010-0000-3600-000001000000}" name="KP800IT." dataDxfId="390"/>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7000000}" name="KP900IT." displayName="KP900IT." ref="T42:T45" totalsRowShown="0" headerRowDxfId="389" dataDxfId="388">
  <autoFilter ref="T42:T45" xr:uid="{00000000-0009-0000-0100-000038000000}"/>
  <tableColumns count="1">
    <tableColumn id="1" xr3:uid="{00000000-0010-0000-3700-000001000000}" name="KP900IT." dataDxfId="387"/>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KPE900IT." displayName="KPE900IT." ref="V42:V45" totalsRowShown="0" headerRowDxfId="386" dataDxfId="385">
  <autoFilter ref="V42:V45" xr:uid="{00000000-0009-0000-0100-000039000000}"/>
  <tableColumns count="1">
    <tableColumn id="1" xr3:uid="{00000000-0010-0000-3800-000001000000}" name="KPE900IT." dataDxfId="384"/>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9000000}" name="KP1000IT." displayName="KP1000IT." ref="X42:X45" totalsRowShown="0" headerRowDxfId="383" dataDxfId="382">
  <autoFilter ref="X42:X45" xr:uid="{00000000-0009-0000-0100-00003A000000}"/>
  <tableColumns count="1">
    <tableColumn id="1" xr3:uid="{00000000-0010-0000-3900-000001000000}" name="KP1000IT." dataDxfId="381"/>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A000000}" name="KP1100IT." displayName="KP1100IT." ref="Z42:Z45" totalsRowShown="0" headerRowDxfId="380" dataDxfId="379">
  <autoFilter ref="Z42:Z45" xr:uid="{00000000-0009-0000-0100-00003B000000}"/>
  <tableColumns count="1">
    <tableColumn id="1" xr3:uid="{00000000-0010-0000-3A00-000001000000}" name="KP1100IT." dataDxfId="37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KP500." displayName="KP500." ref="L6:L14" totalsRowShown="0" headerRowDxfId="539" dataDxfId="538">
  <autoFilter ref="L6:L14" xr:uid="{00000000-0009-0000-0100-000006000000}"/>
  <tableColumns count="1">
    <tableColumn id="1" xr3:uid="{00000000-0010-0000-0500-000001000000}" name="KP500." dataDxfId="53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B000000}" name="KP1200IT." displayName="KP1200IT." ref="AB42:AB45" totalsRowShown="0" headerRowDxfId="377" dataDxfId="376">
  <autoFilter ref="AB42:AB45" xr:uid="{00000000-0009-0000-0100-00003C000000}"/>
  <tableColumns count="1">
    <tableColumn id="1" xr3:uid="{00000000-0010-0000-3B00-000001000000}" name="KP1200IT." dataDxfId="375"/>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C000000}" name="TypGIT." displayName="TypGIT." ref="AD42:AD45" totalsRowShown="0" headerRowDxfId="374" dataDxfId="373">
  <autoFilter ref="AD42:AD45" xr:uid="{00000000-0009-0000-0100-00003D000000}"/>
  <tableColumns count="1">
    <tableColumn id="1" xr3:uid="{00000000-0010-0000-3C00-000001000000}" name="TypGIT." dataDxfId="372"/>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D000000}" name="KP100F." displayName="KP100F." ref="B56:B59" totalsRowShown="0" headerRowDxfId="371" dataDxfId="370">
  <autoFilter ref="B56:B59" xr:uid="{00000000-0009-0000-0100-00003E000000}"/>
  <tableColumns count="1">
    <tableColumn id="1" xr3:uid="{00000000-0010-0000-3D00-000001000000}" name="KP100F." dataDxfId="369"/>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E000000}" name="KPE100F." displayName="KPE100F." ref="D56:D59" totalsRowShown="0" headerRowDxfId="368" dataDxfId="367">
  <autoFilter ref="D56:D59" xr:uid="{00000000-0009-0000-0100-00003F000000}"/>
  <tableColumns count="1">
    <tableColumn id="1" xr3:uid="{00000000-0010-0000-3E00-000001000000}" name="KPE100F." dataDxfId="366"/>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F000000}" name="KP200F." displayName="KP200F." ref="F56:F58" totalsRowShown="0" headerRowDxfId="365" dataDxfId="364">
  <autoFilter ref="F56:F58" xr:uid="{00000000-0009-0000-0100-000040000000}"/>
  <tableColumns count="1">
    <tableColumn id="1" xr3:uid="{00000000-0010-0000-3F00-000001000000}" name="KP200F." dataDxfId="363"/>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0000000}" name="KP300F." displayName="KP300F." ref="H56:H59" totalsRowShown="0" headerRowDxfId="362" dataDxfId="361">
  <autoFilter ref="H56:H59" xr:uid="{00000000-0009-0000-0100-000041000000}"/>
  <tableColumns count="1">
    <tableColumn id="1" xr3:uid="{00000000-0010-0000-4000-000001000000}" name="KP300F." dataDxfId="360"/>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1000000}" name="KPE300F." displayName="KPE300F." ref="J56:J59" totalsRowShown="0" headerRowDxfId="359" dataDxfId="358">
  <autoFilter ref="J56:J59" xr:uid="{00000000-0009-0000-0100-000042000000}"/>
  <tableColumns count="1">
    <tableColumn id="1" xr3:uid="{00000000-0010-0000-4100-000001000000}" name="KPE300F." dataDxfId="357"/>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2000000}" name="KP500F." displayName="KP500F." ref="L56:L58" totalsRowShown="0" headerRowDxfId="356" dataDxfId="355">
  <autoFilter ref="L56:L58" xr:uid="{00000000-0009-0000-0100-000043000000}"/>
  <tableColumns count="1">
    <tableColumn id="1" xr3:uid="{00000000-0010-0000-4200-000001000000}" name="KP500F." dataDxfId="354"/>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3000000}" name="KP600F." displayName="KP600F." ref="N56:N58" totalsRowShown="0" headerRowDxfId="353" dataDxfId="352">
  <autoFilter ref="N56:N58" xr:uid="{00000000-0009-0000-0100-000044000000}"/>
  <tableColumns count="1">
    <tableColumn id="1" xr3:uid="{00000000-0010-0000-4300-000001000000}" name="KP600F." dataDxfId="351"/>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4000000}" name="KP700F." displayName="KP700F." ref="P56:P58" totalsRowShown="0" headerRowDxfId="350" dataDxfId="349">
  <autoFilter ref="P56:P58" xr:uid="{00000000-0009-0000-0100-000045000000}"/>
  <tableColumns count="1">
    <tableColumn id="1" xr3:uid="{00000000-0010-0000-4400-000001000000}" name="KP700F." dataDxfId="34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KP600." displayName="KP600." ref="N6:N13" totalsRowShown="0" headerRowDxfId="536" dataDxfId="535">
  <autoFilter ref="N6:N13" xr:uid="{00000000-0009-0000-0100-000007000000}"/>
  <tableColumns count="1">
    <tableColumn id="1" xr3:uid="{00000000-0010-0000-0600-000001000000}" name="KP600." dataDxfId="53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5000000}" name="KP800F." displayName="KP800F." ref="R56:R58" totalsRowShown="0" headerRowDxfId="347" dataDxfId="346">
  <autoFilter ref="R56:R58" xr:uid="{00000000-0009-0000-0100-000046000000}"/>
  <tableColumns count="1">
    <tableColumn id="1" xr3:uid="{00000000-0010-0000-4500-000001000000}" name="KP800F." dataDxfId="345"/>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6000000}" name="KP900F." displayName="KP900F." ref="T56:T58" totalsRowShown="0" headerRowDxfId="344" dataDxfId="343">
  <autoFilter ref="T56:T58" xr:uid="{00000000-0009-0000-0100-000047000000}"/>
  <tableColumns count="1">
    <tableColumn id="1" xr3:uid="{00000000-0010-0000-4600-000001000000}" name="KP900F." dataDxfId="342"/>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7000000}" name="KPE900F." displayName="KPE900F." ref="V56:V58" totalsRowShown="0" headerRowDxfId="341" dataDxfId="340">
  <autoFilter ref="V56:V58" xr:uid="{00000000-0009-0000-0100-000048000000}"/>
  <tableColumns count="1">
    <tableColumn id="1" xr3:uid="{00000000-0010-0000-4700-000001000000}" name="KPE900F." dataDxfId="339"/>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8000000}" name="KP1000F." displayName="KP1000F." ref="X56:X58" totalsRowShown="0" headerRowDxfId="338" dataDxfId="337">
  <autoFilter ref="X56:X58" xr:uid="{00000000-0009-0000-0100-000049000000}"/>
  <tableColumns count="1">
    <tableColumn id="1" xr3:uid="{00000000-0010-0000-4800-000001000000}" name="KP1000F." dataDxfId="336"/>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9000000}" name="KP1100F." displayName="KP1100F." ref="Z56:Z58" totalsRowShown="0" headerRowDxfId="335" dataDxfId="334">
  <autoFilter ref="Z56:Z58" xr:uid="{00000000-0009-0000-0100-00004A000000}"/>
  <tableColumns count="1">
    <tableColumn id="1" xr3:uid="{00000000-0010-0000-4900-000001000000}" name="KP1100F." dataDxfId="333"/>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A000000}" name="KP1200F." displayName="KP1200F." ref="AB56:AB58" totalsRowShown="0" headerRowDxfId="332" dataDxfId="331">
  <autoFilter ref="AB56:AB58" xr:uid="{00000000-0009-0000-0100-00004B000000}"/>
  <tableColumns count="1">
    <tableColumn id="1" xr3:uid="{00000000-0010-0000-4A00-000001000000}" name="KP1200F." dataDxfId="330"/>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B000000}" name="TypGF." displayName="TypGF." ref="AD56:AD58" totalsRowShown="0" headerRowDxfId="329" dataDxfId="328">
  <autoFilter ref="AD56:AD58" xr:uid="{00000000-0009-0000-0100-00004C000000}"/>
  <tableColumns count="1">
    <tableColumn id="1" xr3:uid="{00000000-0010-0000-4B00-000001000000}" name="TypGF." dataDxfId="327"/>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C000000}" name="KP100S." displayName="KP100S." ref="B62:B64" totalsRowShown="0" headerRowDxfId="326" dataDxfId="325">
  <autoFilter ref="B62:B64" xr:uid="{00000000-0009-0000-0100-00004D000000}"/>
  <tableColumns count="1">
    <tableColumn id="1" xr3:uid="{00000000-0010-0000-4C00-000001000000}" name="KP100S." dataDxfId="324"/>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D000000}" name="KPE100S." displayName="KPE100S." ref="D62:D64" totalsRowShown="0" headerRowDxfId="323" dataDxfId="322">
  <autoFilter ref="D62:D64" xr:uid="{00000000-0009-0000-0100-00004E000000}"/>
  <tableColumns count="1">
    <tableColumn id="1" xr3:uid="{00000000-0010-0000-4D00-000001000000}" name="KPE100S." dataDxfId="321"/>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E000000}" name="KP200S." displayName="KP200S." ref="F62:F64" totalsRowShown="0" headerRowDxfId="320" dataDxfId="319">
  <autoFilter ref="F62:F64" xr:uid="{00000000-0009-0000-0100-00004F000000}"/>
  <tableColumns count="1">
    <tableColumn id="1" xr3:uid="{00000000-0010-0000-4E00-000001000000}" name="KP200S." dataDxfId="31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KP700." displayName="KP700." ref="P6:P7" totalsRowShown="0" headerRowDxfId="533" dataDxfId="532">
  <autoFilter ref="P6:P7" xr:uid="{00000000-0009-0000-0100-000008000000}"/>
  <tableColumns count="1">
    <tableColumn id="1" xr3:uid="{00000000-0010-0000-0700-000001000000}" name="KP700." dataDxfId="531"/>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F000000}" name="KP300S." displayName="KP300S." ref="H62:H64" totalsRowShown="0" headerRowDxfId="317" dataDxfId="316">
  <autoFilter ref="H62:H64" xr:uid="{00000000-0009-0000-0100-000050000000}"/>
  <tableColumns count="1">
    <tableColumn id="1" xr3:uid="{00000000-0010-0000-4F00-000001000000}" name="KP300S." dataDxfId="315"/>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0000000}" name="KPE300S." displayName="KPE300S." ref="J62:J64" totalsRowShown="0" headerRowDxfId="314" dataDxfId="313">
  <autoFilter ref="J62:J64" xr:uid="{00000000-0009-0000-0100-000051000000}"/>
  <tableColumns count="1">
    <tableColumn id="1" xr3:uid="{00000000-0010-0000-5000-000001000000}" name="KPE300S." dataDxfId="312"/>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1000000}" name="KP500S." displayName="KP500S." ref="L62:L64" totalsRowShown="0" headerRowDxfId="311" dataDxfId="310">
  <autoFilter ref="L62:L64" xr:uid="{00000000-0009-0000-0100-000052000000}"/>
  <tableColumns count="1">
    <tableColumn id="1" xr3:uid="{00000000-0010-0000-5100-000001000000}" name="KP500S." dataDxfId="309"/>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2000000}" name="KP600S." displayName="KP600S." ref="N62:N63" insertRow="1" totalsRowShown="0" headerRowDxfId="308" dataDxfId="307">
  <autoFilter ref="N62:N63" xr:uid="{00000000-0009-0000-0100-000053000000}"/>
  <tableColumns count="1">
    <tableColumn id="1" xr3:uid="{00000000-0010-0000-5200-000001000000}" name="KP600S." dataDxfId="306"/>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3000000}" name="KP700S." displayName="KP700S." ref="P62:P64" totalsRowShown="0" headerRowDxfId="305" dataDxfId="304">
  <autoFilter ref="P62:P64" xr:uid="{00000000-0009-0000-0100-000054000000}"/>
  <tableColumns count="1">
    <tableColumn id="1" xr3:uid="{00000000-0010-0000-5300-000001000000}" name="KP700S." dataDxfId="303"/>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4000000}" name="KP800S." displayName="KP800S." ref="R62:R64" totalsRowShown="0" headerRowDxfId="302" dataDxfId="301">
  <autoFilter ref="R62:R64" xr:uid="{00000000-0009-0000-0100-000055000000}"/>
  <tableColumns count="1">
    <tableColumn id="1" xr3:uid="{00000000-0010-0000-5400-000001000000}" name="KP800S." dataDxfId="300"/>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5000000}" name="KP900S." displayName="KP900S." ref="T62:T64" totalsRowShown="0" headerRowDxfId="299" dataDxfId="298">
  <autoFilter ref="T62:T64" xr:uid="{00000000-0009-0000-0100-000056000000}"/>
  <tableColumns count="1">
    <tableColumn id="1" xr3:uid="{00000000-0010-0000-5500-000001000000}" name="KP900S." dataDxfId="297"/>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6000000}" name="KPE900S." displayName="KPE900S." ref="V62:V64" totalsRowShown="0" headerRowDxfId="296" dataDxfId="295">
  <autoFilter ref="V62:V64" xr:uid="{00000000-0009-0000-0100-000057000000}"/>
  <tableColumns count="1">
    <tableColumn id="1" xr3:uid="{00000000-0010-0000-5600-000001000000}" name="KPE900S." dataDxfId="294"/>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7000000}" name="KP1000S." displayName="KP1000S." ref="X62:X64" totalsRowShown="0" headerRowDxfId="293" dataDxfId="292">
  <autoFilter ref="X62:X64" xr:uid="{00000000-0009-0000-0100-000058000000}"/>
  <tableColumns count="1">
    <tableColumn id="1" xr3:uid="{00000000-0010-0000-5700-000001000000}" name="KP1000S." dataDxfId="291"/>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8000000}" name="KP1100S." displayName="KP1100S." ref="Z62:Z63" insertRow="1" totalsRowShown="0" headerRowDxfId="290" dataDxfId="289">
  <autoFilter ref="Z62:Z63" xr:uid="{00000000-0009-0000-0100-000059000000}"/>
  <tableColumns count="1">
    <tableColumn id="1" xr3:uid="{00000000-0010-0000-5800-000001000000}" name="KP1100S." dataDxfId="28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KP800." displayName="KP800." ref="R6:R13" totalsRowShown="0" headerRowDxfId="530" dataDxfId="529">
  <autoFilter ref="R6:R13" xr:uid="{00000000-0009-0000-0100-000009000000}"/>
  <tableColumns count="1">
    <tableColumn id="1" xr3:uid="{00000000-0010-0000-0800-000001000000}" name="KP800." dataDxfId="528"/>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9000000}" name="KP1200S." displayName="KP1200S." ref="AB62:AB63" insertRow="1" totalsRowShown="0" headerRowDxfId="287" dataDxfId="286">
  <autoFilter ref="AB62:AB63" xr:uid="{00000000-0009-0000-0100-00005A000000}"/>
  <tableColumns count="1">
    <tableColumn id="1" xr3:uid="{00000000-0010-0000-5900-000001000000}" name="KP1200S." dataDxfId="285"/>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A000000}" name="TypGS." displayName="TypGS." ref="AD62:AD63" insertRow="1" totalsRowShown="0" headerRowDxfId="284" dataDxfId="283">
  <autoFilter ref="AD62:AD63" xr:uid="{00000000-0009-0000-0100-00005B000000}"/>
  <tableColumns count="1">
    <tableColumn id="1" xr3:uid="{00000000-0010-0000-5A00-000001000000}" name="TypGS." dataDxfId="282"/>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B000000}" name="Dleer." displayName="Dleer." ref="AL30:AL39" totalsRowShown="0" headerRowDxfId="281" dataDxfId="280">
  <autoFilter ref="AL30:AL39" xr:uid="{00000000-0009-0000-0100-00005C000000}"/>
  <tableColumns count="1">
    <tableColumn id="1" xr3:uid="{00000000-0010-0000-5B00-000001000000}" name="Dleer." dataDxfId="279"/>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C000000}" name="ISleer." displayName="ISleer." ref="AL49:AL53" totalsRowShown="0" headerRowDxfId="278" dataDxfId="277">
  <autoFilter ref="AL49:AL53" xr:uid="{00000000-0009-0000-0100-00005E000000}"/>
  <tableColumns count="1">
    <tableColumn id="1" xr3:uid="{00000000-0010-0000-5C00-000001000000}" name="ISleer." dataDxfId="276"/>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D000000}" name="ITleer." displayName="ITleer." ref="AL42:AL46" totalsRowShown="0" headerRowDxfId="275" dataDxfId="274">
  <autoFilter ref="AL42:AL46" xr:uid="{00000000-0009-0000-0100-00005F000000}"/>
  <tableColumns count="1">
    <tableColumn id="1" xr3:uid="{00000000-0010-0000-5D00-000001000000}" name="ITleer." dataDxfId="273"/>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E000000}" name="Fleer." displayName="Fleer." ref="AL56:AL59" totalsRowShown="0" headerRowDxfId="272" dataDxfId="271">
  <autoFilter ref="AL56:AL59" xr:uid="{00000000-0009-0000-0100-000061000000}"/>
  <tableColumns count="1">
    <tableColumn id="1" xr3:uid="{00000000-0010-0000-5E00-000001000000}" name="Fleer." dataDxfId="270"/>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5F000000}" name="KP100A." displayName="KP100A." ref="B18:B21" totalsRowShown="0" headerRowDxfId="269" dataDxfId="268">
  <autoFilter ref="B18:B21" xr:uid="{00000000-0009-0000-0100-000092000000}"/>
  <tableColumns count="1">
    <tableColumn id="1" xr3:uid="{00000000-0010-0000-5F00-000001000000}" name="KP100A." dataDxfId="267"/>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60000000}" name="KPE100A." displayName="KPE100A." ref="D18:D21" totalsRowShown="0" headerRowDxfId="266" dataDxfId="265">
  <autoFilter ref="D18:D21" xr:uid="{00000000-0009-0000-0100-000093000000}"/>
  <tableColumns count="1">
    <tableColumn id="1" xr3:uid="{00000000-0010-0000-6000-000001000000}" name="KPE100A." dataDxfId="264"/>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61000000}" name="KP200A." displayName="KP200A." ref="F18:F21" totalsRowShown="0" headerRowDxfId="263" dataDxfId="262">
  <autoFilter ref="F18:F21" xr:uid="{00000000-0009-0000-0100-000094000000}"/>
  <tableColumns count="1">
    <tableColumn id="1" xr3:uid="{00000000-0010-0000-6100-000001000000}" name="KP200A." dataDxfId="261"/>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62000000}" name="KP300A." displayName="KP300A." ref="H18:H19" totalsRowShown="0" headerRowDxfId="260" dataDxfId="259">
  <autoFilter ref="H18:H19" xr:uid="{00000000-0009-0000-0100-000095000000}"/>
  <tableColumns count="1">
    <tableColumn id="1" xr3:uid="{00000000-0010-0000-6200-000001000000}" name="KP300A." dataDxfId="25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table" Target="../tables/table116.xml"/><Relationship Id="rId21" Type="http://schemas.openxmlformats.org/officeDocument/2006/relationships/table" Target="../tables/table20.xml"/><Relationship Id="rId42" Type="http://schemas.openxmlformats.org/officeDocument/2006/relationships/table" Target="../tables/table41.xml"/><Relationship Id="rId63" Type="http://schemas.openxmlformats.org/officeDocument/2006/relationships/table" Target="../tables/table62.xml"/><Relationship Id="rId84" Type="http://schemas.openxmlformats.org/officeDocument/2006/relationships/table" Target="../tables/table83.xml"/><Relationship Id="rId138" Type="http://schemas.openxmlformats.org/officeDocument/2006/relationships/table" Target="../tables/table137.xml"/><Relationship Id="rId159" Type="http://schemas.openxmlformats.org/officeDocument/2006/relationships/table" Target="../tables/table158.xml"/><Relationship Id="rId170" Type="http://schemas.openxmlformats.org/officeDocument/2006/relationships/table" Target="../tables/table169.xml"/><Relationship Id="rId107" Type="http://schemas.openxmlformats.org/officeDocument/2006/relationships/table" Target="../tables/table106.xml"/><Relationship Id="rId11" Type="http://schemas.openxmlformats.org/officeDocument/2006/relationships/table" Target="../tables/table10.xml"/><Relationship Id="rId32" Type="http://schemas.openxmlformats.org/officeDocument/2006/relationships/table" Target="../tables/table31.xml"/><Relationship Id="rId53" Type="http://schemas.openxmlformats.org/officeDocument/2006/relationships/table" Target="../tables/table52.xml"/><Relationship Id="rId74" Type="http://schemas.openxmlformats.org/officeDocument/2006/relationships/table" Target="../tables/table73.xml"/><Relationship Id="rId128" Type="http://schemas.openxmlformats.org/officeDocument/2006/relationships/table" Target="../tables/table127.xml"/><Relationship Id="rId149" Type="http://schemas.openxmlformats.org/officeDocument/2006/relationships/table" Target="../tables/table148.xml"/><Relationship Id="rId5" Type="http://schemas.openxmlformats.org/officeDocument/2006/relationships/table" Target="../tables/table4.xml"/><Relationship Id="rId95" Type="http://schemas.openxmlformats.org/officeDocument/2006/relationships/table" Target="../tables/table94.xml"/><Relationship Id="rId160" Type="http://schemas.openxmlformats.org/officeDocument/2006/relationships/table" Target="../tables/table159.xml"/><Relationship Id="rId181" Type="http://schemas.openxmlformats.org/officeDocument/2006/relationships/table" Target="../tables/table180.xml"/><Relationship Id="rId22" Type="http://schemas.openxmlformats.org/officeDocument/2006/relationships/table" Target="../tables/table21.xml"/><Relationship Id="rId43" Type="http://schemas.openxmlformats.org/officeDocument/2006/relationships/table" Target="../tables/table42.xml"/><Relationship Id="rId64" Type="http://schemas.openxmlformats.org/officeDocument/2006/relationships/table" Target="../tables/table63.xml"/><Relationship Id="rId118" Type="http://schemas.openxmlformats.org/officeDocument/2006/relationships/table" Target="../tables/table117.xml"/><Relationship Id="rId139" Type="http://schemas.openxmlformats.org/officeDocument/2006/relationships/table" Target="../tables/table138.xml"/><Relationship Id="rId85" Type="http://schemas.openxmlformats.org/officeDocument/2006/relationships/table" Target="../tables/table84.xml"/><Relationship Id="rId150" Type="http://schemas.openxmlformats.org/officeDocument/2006/relationships/table" Target="../tables/table149.xml"/><Relationship Id="rId171" Type="http://schemas.openxmlformats.org/officeDocument/2006/relationships/table" Target="../tables/table170.xml"/><Relationship Id="rId12" Type="http://schemas.openxmlformats.org/officeDocument/2006/relationships/table" Target="../tables/table11.xml"/><Relationship Id="rId33" Type="http://schemas.openxmlformats.org/officeDocument/2006/relationships/table" Target="../tables/table32.xml"/><Relationship Id="rId108" Type="http://schemas.openxmlformats.org/officeDocument/2006/relationships/table" Target="../tables/table107.xml"/><Relationship Id="rId129" Type="http://schemas.openxmlformats.org/officeDocument/2006/relationships/table" Target="../tables/table128.xml"/><Relationship Id="rId54" Type="http://schemas.openxmlformats.org/officeDocument/2006/relationships/table" Target="../tables/table53.xml"/><Relationship Id="rId75" Type="http://schemas.openxmlformats.org/officeDocument/2006/relationships/table" Target="../tables/table74.xml"/><Relationship Id="rId96" Type="http://schemas.openxmlformats.org/officeDocument/2006/relationships/table" Target="../tables/table95.xml"/><Relationship Id="rId140" Type="http://schemas.openxmlformats.org/officeDocument/2006/relationships/table" Target="../tables/table139.xml"/><Relationship Id="rId161" Type="http://schemas.openxmlformats.org/officeDocument/2006/relationships/table" Target="../tables/table160.xml"/><Relationship Id="rId182" Type="http://schemas.openxmlformats.org/officeDocument/2006/relationships/table" Target="../tables/table181.xml"/><Relationship Id="rId6" Type="http://schemas.openxmlformats.org/officeDocument/2006/relationships/table" Target="../tables/table5.xml"/><Relationship Id="rId23" Type="http://schemas.openxmlformats.org/officeDocument/2006/relationships/table" Target="../tables/table22.xml"/><Relationship Id="rId119" Type="http://schemas.openxmlformats.org/officeDocument/2006/relationships/table" Target="../tables/table118.xml"/><Relationship Id="rId44" Type="http://schemas.openxmlformats.org/officeDocument/2006/relationships/table" Target="../tables/table43.xml"/><Relationship Id="rId65" Type="http://schemas.openxmlformats.org/officeDocument/2006/relationships/table" Target="../tables/table64.xml"/><Relationship Id="rId86" Type="http://schemas.openxmlformats.org/officeDocument/2006/relationships/table" Target="../tables/table85.xml"/><Relationship Id="rId130" Type="http://schemas.openxmlformats.org/officeDocument/2006/relationships/table" Target="../tables/table129.xml"/><Relationship Id="rId151" Type="http://schemas.openxmlformats.org/officeDocument/2006/relationships/table" Target="../tables/table150.xml"/><Relationship Id="rId172" Type="http://schemas.openxmlformats.org/officeDocument/2006/relationships/table" Target="../tables/table171.xml"/><Relationship Id="rId13" Type="http://schemas.openxmlformats.org/officeDocument/2006/relationships/table" Target="../tables/table12.xml"/><Relationship Id="rId18" Type="http://schemas.openxmlformats.org/officeDocument/2006/relationships/table" Target="../tables/table17.xml"/><Relationship Id="rId39" Type="http://schemas.openxmlformats.org/officeDocument/2006/relationships/table" Target="../tables/table38.xml"/><Relationship Id="rId109" Type="http://schemas.openxmlformats.org/officeDocument/2006/relationships/table" Target="../tables/table108.xml"/><Relationship Id="rId34" Type="http://schemas.openxmlformats.org/officeDocument/2006/relationships/table" Target="../tables/table33.xml"/><Relationship Id="rId50" Type="http://schemas.openxmlformats.org/officeDocument/2006/relationships/table" Target="../tables/table49.xml"/><Relationship Id="rId55" Type="http://schemas.openxmlformats.org/officeDocument/2006/relationships/table" Target="../tables/table54.xml"/><Relationship Id="rId76" Type="http://schemas.openxmlformats.org/officeDocument/2006/relationships/table" Target="../tables/table75.xml"/><Relationship Id="rId97" Type="http://schemas.openxmlformats.org/officeDocument/2006/relationships/table" Target="../tables/table96.xml"/><Relationship Id="rId104" Type="http://schemas.openxmlformats.org/officeDocument/2006/relationships/table" Target="../tables/table103.xml"/><Relationship Id="rId120" Type="http://schemas.openxmlformats.org/officeDocument/2006/relationships/table" Target="../tables/table119.xml"/><Relationship Id="rId125" Type="http://schemas.openxmlformats.org/officeDocument/2006/relationships/table" Target="../tables/table124.xml"/><Relationship Id="rId141" Type="http://schemas.openxmlformats.org/officeDocument/2006/relationships/table" Target="../tables/table140.xml"/><Relationship Id="rId146" Type="http://schemas.openxmlformats.org/officeDocument/2006/relationships/table" Target="../tables/table145.xml"/><Relationship Id="rId167" Type="http://schemas.openxmlformats.org/officeDocument/2006/relationships/table" Target="../tables/table166.xml"/><Relationship Id="rId7" Type="http://schemas.openxmlformats.org/officeDocument/2006/relationships/table" Target="../tables/table6.xml"/><Relationship Id="rId71" Type="http://schemas.openxmlformats.org/officeDocument/2006/relationships/table" Target="../tables/table70.xml"/><Relationship Id="rId92" Type="http://schemas.openxmlformats.org/officeDocument/2006/relationships/table" Target="../tables/table91.xml"/><Relationship Id="rId162" Type="http://schemas.openxmlformats.org/officeDocument/2006/relationships/table" Target="../tables/table161.xml"/><Relationship Id="rId183" Type="http://schemas.openxmlformats.org/officeDocument/2006/relationships/table" Target="../tables/table182.xml"/><Relationship Id="rId2" Type="http://schemas.openxmlformats.org/officeDocument/2006/relationships/table" Target="../tables/table1.xml"/><Relationship Id="rId29" Type="http://schemas.openxmlformats.org/officeDocument/2006/relationships/table" Target="../tables/table28.xml"/><Relationship Id="rId24" Type="http://schemas.openxmlformats.org/officeDocument/2006/relationships/table" Target="../tables/table23.xml"/><Relationship Id="rId40" Type="http://schemas.openxmlformats.org/officeDocument/2006/relationships/table" Target="../tables/table39.xml"/><Relationship Id="rId45" Type="http://schemas.openxmlformats.org/officeDocument/2006/relationships/table" Target="../tables/table44.xml"/><Relationship Id="rId66" Type="http://schemas.openxmlformats.org/officeDocument/2006/relationships/table" Target="../tables/table65.xml"/><Relationship Id="rId87" Type="http://schemas.openxmlformats.org/officeDocument/2006/relationships/table" Target="../tables/table86.xml"/><Relationship Id="rId110" Type="http://schemas.openxmlformats.org/officeDocument/2006/relationships/table" Target="../tables/table109.xml"/><Relationship Id="rId115" Type="http://schemas.openxmlformats.org/officeDocument/2006/relationships/table" Target="../tables/table114.xml"/><Relationship Id="rId131" Type="http://schemas.openxmlformats.org/officeDocument/2006/relationships/table" Target="../tables/table130.xml"/><Relationship Id="rId136" Type="http://schemas.openxmlformats.org/officeDocument/2006/relationships/table" Target="../tables/table135.xml"/><Relationship Id="rId157" Type="http://schemas.openxmlformats.org/officeDocument/2006/relationships/table" Target="../tables/table156.xml"/><Relationship Id="rId178" Type="http://schemas.openxmlformats.org/officeDocument/2006/relationships/table" Target="../tables/table177.xml"/><Relationship Id="rId61" Type="http://schemas.openxmlformats.org/officeDocument/2006/relationships/table" Target="../tables/table60.xml"/><Relationship Id="rId82" Type="http://schemas.openxmlformats.org/officeDocument/2006/relationships/table" Target="../tables/table81.xml"/><Relationship Id="rId152" Type="http://schemas.openxmlformats.org/officeDocument/2006/relationships/table" Target="../tables/table151.xml"/><Relationship Id="rId173" Type="http://schemas.openxmlformats.org/officeDocument/2006/relationships/table" Target="../tables/table172.xml"/><Relationship Id="rId19" Type="http://schemas.openxmlformats.org/officeDocument/2006/relationships/table" Target="../tables/table18.xml"/><Relationship Id="rId14" Type="http://schemas.openxmlformats.org/officeDocument/2006/relationships/table" Target="../tables/table13.xml"/><Relationship Id="rId30" Type="http://schemas.openxmlformats.org/officeDocument/2006/relationships/table" Target="../tables/table29.xml"/><Relationship Id="rId35" Type="http://schemas.openxmlformats.org/officeDocument/2006/relationships/table" Target="../tables/table34.xml"/><Relationship Id="rId56" Type="http://schemas.openxmlformats.org/officeDocument/2006/relationships/table" Target="../tables/table55.xml"/><Relationship Id="rId77" Type="http://schemas.openxmlformats.org/officeDocument/2006/relationships/table" Target="../tables/table76.xml"/><Relationship Id="rId100" Type="http://schemas.openxmlformats.org/officeDocument/2006/relationships/table" Target="../tables/table99.xml"/><Relationship Id="rId105" Type="http://schemas.openxmlformats.org/officeDocument/2006/relationships/table" Target="../tables/table104.xml"/><Relationship Id="rId126" Type="http://schemas.openxmlformats.org/officeDocument/2006/relationships/table" Target="../tables/table125.xml"/><Relationship Id="rId147" Type="http://schemas.openxmlformats.org/officeDocument/2006/relationships/table" Target="../tables/table146.xml"/><Relationship Id="rId168" Type="http://schemas.openxmlformats.org/officeDocument/2006/relationships/table" Target="../tables/table167.xml"/><Relationship Id="rId8" Type="http://schemas.openxmlformats.org/officeDocument/2006/relationships/table" Target="../tables/table7.xml"/><Relationship Id="rId51" Type="http://schemas.openxmlformats.org/officeDocument/2006/relationships/table" Target="../tables/table50.xml"/><Relationship Id="rId72" Type="http://schemas.openxmlformats.org/officeDocument/2006/relationships/table" Target="../tables/table71.xml"/><Relationship Id="rId93" Type="http://schemas.openxmlformats.org/officeDocument/2006/relationships/table" Target="../tables/table92.xml"/><Relationship Id="rId98" Type="http://schemas.openxmlformats.org/officeDocument/2006/relationships/table" Target="../tables/table97.xml"/><Relationship Id="rId121" Type="http://schemas.openxmlformats.org/officeDocument/2006/relationships/table" Target="../tables/table120.xml"/><Relationship Id="rId142" Type="http://schemas.openxmlformats.org/officeDocument/2006/relationships/table" Target="../tables/table141.xml"/><Relationship Id="rId163" Type="http://schemas.openxmlformats.org/officeDocument/2006/relationships/table" Target="../tables/table162.xml"/><Relationship Id="rId184" Type="http://schemas.openxmlformats.org/officeDocument/2006/relationships/table" Target="../tables/table183.xml"/><Relationship Id="rId3" Type="http://schemas.openxmlformats.org/officeDocument/2006/relationships/table" Target="../tables/table2.xml"/><Relationship Id="rId25" Type="http://schemas.openxmlformats.org/officeDocument/2006/relationships/table" Target="../tables/table24.xml"/><Relationship Id="rId46" Type="http://schemas.openxmlformats.org/officeDocument/2006/relationships/table" Target="../tables/table45.xml"/><Relationship Id="rId67" Type="http://schemas.openxmlformats.org/officeDocument/2006/relationships/table" Target="../tables/table66.xml"/><Relationship Id="rId116" Type="http://schemas.openxmlformats.org/officeDocument/2006/relationships/table" Target="../tables/table115.xml"/><Relationship Id="rId137" Type="http://schemas.openxmlformats.org/officeDocument/2006/relationships/table" Target="../tables/table136.xml"/><Relationship Id="rId158" Type="http://schemas.openxmlformats.org/officeDocument/2006/relationships/table" Target="../tables/table157.xml"/><Relationship Id="rId20" Type="http://schemas.openxmlformats.org/officeDocument/2006/relationships/table" Target="../tables/table19.xml"/><Relationship Id="rId41" Type="http://schemas.openxmlformats.org/officeDocument/2006/relationships/table" Target="../tables/table40.xml"/><Relationship Id="rId62" Type="http://schemas.openxmlformats.org/officeDocument/2006/relationships/table" Target="../tables/table61.xml"/><Relationship Id="rId83" Type="http://schemas.openxmlformats.org/officeDocument/2006/relationships/table" Target="../tables/table82.xml"/><Relationship Id="rId88" Type="http://schemas.openxmlformats.org/officeDocument/2006/relationships/table" Target="../tables/table87.xml"/><Relationship Id="rId111" Type="http://schemas.openxmlformats.org/officeDocument/2006/relationships/table" Target="../tables/table110.xml"/><Relationship Id="rId132" Type="http://schemas.openxmlformats.org/officeDocument/2006/relationships/table" Target="../tables/table131.xml"/><Relationship Id="rId153" Type="http://schemas.openxmlformats.org/officeDocument/2006/relationships/table" Target="../tables/table152.xml"/><Relationship Id="rId174" Type="http://schemas.openxmlformats.org/officeDocument/2006/relationships/table" Target="../tables/table173.xml"/><Relationship Id="rId179" Type="http://schemas.openxmlformats.org/officeDocument/2006/relationships/table" Target="../tables/table178.xml"/><Relationship Id="rId15" Type="http://schemas.openxmlformats.org/officeDocument/2006/relationships/table" Target="../tables/table14.xml"/><Relationship Id="rId36" Type="http://schemas.openxmlformats.org/officeDocument/2006/relationships/table" Target="../tables/table35.xml"/><Relationship Id="rId57" Type="http://schemas.openxmlformats.org/officeDocument/2006/relationships/table" Target="../tables/table56.xml"/><Relationship Id="rId106" Type="http://schemas.openxmlformats.org/officeDocument/2006/relationships/table" Target="../tables/table105.xml"/><Relationship Id="rId127" Type="http://schemas.openxmlformats.org/officeDocument/2006/relationships/table" Target="../tables/table126.xml"/><Relationship Id="rId10" Type="http://schemas.openxmlformats.org/officeDocument/2006/relationships/table" Target="../tables/table9.xml"/><Relationship Id="rId31" Type="http://schemas.openxmlformats.org/officeDocument/2006/relationships/table" Target="../tables/table30.xml"/><Relationship Id="rId52" Type="http://schemas.openxmlformats.org/officeDocument/2006/relationships/table" Target="../tables/table51.xml"/><Relationship Id="rId73" Type="http://schemas.openxmlformats.org/officeDocument/2006/relationships/table" Target="../tables/table72.xml"/><Relationship Id="rId78" Type="http://schemas.openxmlformats.org/officeDocument/2006/relationships/table" Target="../tables/table77.xml"/><Relationship Id="rId94" Type="http://schemas.openxmlformats.org/officeDocument/2006/relationships/table" Target="../tables/table93.xml"/><Relationship Id="rId99" Type="http://schemas.openxmlformats.org/officeDocument/2006/relationships/table" Target="../tables/table98.xml"/><Relationship Id="rId101" Type="http://schemas.openxmlformats.org/officeDocument/2006/relationships/table" Target="../tables/table100.xml"/><Relationship Id="rId122" Type="http://schemas.openxmlformats.org/officeDocument/2006/relationships/table" Target="../tables/table121.xml"/><Relationship Id="rId143" Type="http://schemas.openxmlformats.org/officeDocument/2006/relationships/table" Target="../tables/table142.xml"/><Relationship Id="rId148" Type="http://schemas.openxmlformats.org/officeDocument/2006/relationships/table" Target="../tables/table147.xml"/><Relationship Id="rId164" Type="http://schemas.openxmlformats.org/officeDocument/2006/relationships/table" Target="../tables/table163.xml"/><Relationship Id="rId169" Type="http://schemas.openxmlformats.org/officeDocument/2006/relationships/table" Target="../tables/table168.xml"/><Relationship Id="rId185" Type="http://schemas.openxmlformats.org/officeDocument/2006/relationships/table" Target="../tables/table184.xml"/><Relationship Id="rId4" Type="http://schemas.openxmlformats.org/officeDocument/2006/relationships/table" Target="../tables/table3.xml"/><Relationship Id="rId9" Type="http://schemas.openxmlformats.org/officeDocument/2006/relationships/table" Target="../tables/table8.xml"/><Relationship Id="rId180" Type="http://schemas.openxmlformats.org/officeDocument/2006/relationships/table" Target="../tables/table179.xml"/><Relationship Id="rId26" Type="http://schemas.openxmlformats.org/officeDocument/2006/relationships/table" Target="../tables/table25.xml"/><Relationship Id="rId47" Type="http://schemas.openxmlformats.org/officeDocument/2006/relationships/table" Target="../tables/table46.xml"/><Relationship Id="rId68" Type="http://schemas.openxmlformats.org/officeDocument/2006/relationships/table" Target="../tables/table67.xml"/><Relationship Id="rId89" Type="http://schemas.openxmlformats.org/officeDocument/2006/relationships/table" Target="../tables/table88.xml"/><Relationship Id="rId112" Type="http://schemas.openxmlformats.org/officeDocument/2006/relationships/table" Target="../tables/table111.xml"/><Relationship Id="rId133" Type="http://schemas.openxmlformats.org/officeDocument/2006/relationships/table" Target="../tables/table132.xml"/><Relationship Id="rId154" Type="http://schemas.openxmlformats.org/officeDocument/2006/relationships/table" Target="../tables/table153.xml"/><Relationship Id="rId175" Type="http://schemas.openxmlformats.org/officeDocument/2006/relationships/table" Target="../tables/table174.xml"/><Relationship Id="rId16" Type="http://schemas.openxmlformats.org/officeDocument/2006/relationships/table" Target="../tables/table15.xml"/><Relationship Id="rId37" Type="http://schemas.openxmlformats.org/officeDocument/2006/relationships/table" Target="../tables/table36.xml"/><Relationship Id="rId58" Type="http://schemas.openxmlformats.org/officeDocument/2006/relationships/table" Target="../tables/table57.xml"/><Relationship Id="rId79" Type="http://schemas.openxmlformats.org/officeDocument/2006/relationships/table" Target="../tables/table78.xml"/><Relationship Id="rId102" Type="http://schemas.openxmlformats.org/officeDocument/2006/relationships/table" Target="../tables/table101.xml"/><Relationship Id="rId123" Type="http://schemas.openxmlformats.org/officeDocument/2006/relationships/table" Target="../tables/table122.xml"/><Relationship Id="rId144" Type="http://schemas.openxmlformats.org/officeDocument/2006/relationships/table" Target="../tables/table143.xml"/><Relationship Id="rId90" Type="http://schemas.openxmlformats.org/officeDocument/2006/relationships/table" Target="../tables/table89.xml"/><Relationship Id="rId165" Type="http://schemas.openxmlformats.org/officeDocument/2006/relationships/table" Target="../tables/table164.xml"/><Relationship Id="rId27" Type="http://schemas.openxmlformats.org/officeDocument/2006/relationships/table" Target="../tables/table26.xml"/><Relationship Id="rId48" Type="http://schemas.openxmlformats.org/officeDocument/2006/relationships/table" Target="../tables/table47.xml"/><Relationship Id="rId69" Type="http://schemas.openxmlformats.org/officeDocument/2006/relationships/table" Target="../tables/table68.xml"/><Relationship Id="rId113" Type="http://schemas.openxmlformats.org/officeDocument/2006/relationships/table" Target="../tables/table112.xml"/><Relationship Id="rId134" Type="http://schemas.openxmlformats.org/officeDocument/2006/relationships/table" Target="../tables/table133.xml"/><Relationship Id="rId80" Type="http://schemas.openxmlformats.org/officeDocument/2006/relationships/table" Target="../tables/table79.xml"/><Relationship Id="rId155" Type="http://schemas.openxmlformats.org/officeDocument/2006/relationships/table" Target="../tables/table154.xml"/><Relationship Id="rId176" Type="http://schemas.openxmlformats.org/officeDocument/2006/relationships/table" Target="../tables/table175.xml"/><Relationship Id="rId17" Type="http://schemas.openxmlformats.org/officeDocument/2006/relationships/table" Target="../tables/table16.xml"/><Relationship Id="rId38" Type="http://schemas.openxmlformats.org/officeDocument/2006/relationships/table" Target="../tables/table37.xml"/><Relationship Id="rId59" Type="http://schemas.openxmlformats.org/officeDocument/2006/relationships/table" Target="../tables/table58.xml"/><Relationship Id="rId103" Type="http://schemas.openxmlformats.org/officeDocument/2006/relationships/table" Target="../tables/table102.xml"/><Relationship Id="rId124" Type="http://schemas.openxmlformats.org/officeDocument/2006/relationships/table" Target="../tables/table123.xml"/><Relationship Id="rId70" Type="http://schemas.openxmlformats.org/officeDocument/2006/relationships/table" Target="../tables/table69.xml"/><Relationship Id="rId91" Type="http://schemas.openxmlformats.org/officeDocument/2006/relationships/table" Target="../tables/table90.xml"/><Relationship Id="rId145" Type="http://schemas.openxmlformats.org/officeDocument/2006/relationships/table" Target="../tables/table144.xml"/><Relationship Id="rId166" Type="http://schemas.openxmlformats.org/officeDocument/2006/relationships/table" Target="../tables/table165.xml"/><Relationship Id="rId1" Type="http://schemas.openxmlformats.org/officeDocument/2006/relationships/printerSettings" Target="../printerSettings/printerSettings2.bin"/><Relationship Id="rId28" Type="http://schemas.openxmlformats.org/officeDocument/2006/relationships/table" Target="../tables/table27.xml"/><Relationship Id="rId49" Type="http://schemas.openxmlformats.org/officeDocument/2006/relationships/table" Target="../tables/table48.xml"/><Relationship Id="rId114" Type="http://schemas.openxmlformats.org/officeDocument/2006/relationships/table" Target="../tables/table113.xml"/><Relationship Id="rId60" Type="http://schemas.openxmlformats.org/officeDocument/2006/relationships/table" Target="../tables/table59.xml"/><Relationship Id="rId81" Type="http://schemas.openxmlformats.org/officeDocument/2006/relationships/table" Target="../tables/table80.xml"/><Relationship Id="rId135" Type="http://schemas.openxmlformats.org/officeDocument/2006/relationships/table" Target="../tables/table134.xml"/><Relationship Id="rId156" Type="http://schemas.openxmlformats.org/officeDocument/2006/relationships/table" Target="../tables/table155.xml"/><Relationship Id="rId177" Type="http://schemas.openxmlformats.org/officeDocument/2006/relationships/table" Target="../tables/table17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N40"/>
  <sheetViews>
    <sheetView showGridLines="0" showRowColHeaders="0" tabSelected="1" zoomScaleNormal="100" workbookViewId="0">
      <selection activeCell="H3" sqref="H3:S3"/>
    </sheetView>
  </sheetViews>
  <sheetFormatPr baseColWidth="10" defaultColWidth="0" defaultRowHeight="15" customHeight="1" zeroHeight="1" x14ac:dyDescent="0.25"/>
  <cols>
    <col min="1" max="2" width="3.5703125" style="7" customWidth="1"/>
    <col min="3" max="4" width="3.42578125" style="7" customWidth="1"/>
    <col min="5" max="6" width="8.28515625" style="7" customWidth="1"/>
    <col min="7" max="7" width="1.42578125" style="7" customWidth="1"/>
    <col min="8" max="10" width="2.7109375" style="7" customWidth="1"/>
    <col min="11" max="13" width="2.28515625" style="7" customWidth="1"/>
    <col min="14" max="14" width="4.7109375" style="7" customWidth="1"/>
    <col min="15" max="15" width="2.42578125" style="7" customWidth="1"/>
    <col min="16" max="16" width="3" style="7" customWidth="1"/>
    <col min="17" max="17" width="2" style="7" bestFit="1" customWidth="1"/>
    <col min="18" max="19" width="2.85546875" style="7" customWidth="1"/>
    <col min="20" max="21" width="3.85546875" style="7" customWidth="1"/>
    <col min="22" max="23" width="3.28515625" style="7" customWidth="1"/>
    <col min="24" max="25" width="3.5703125" style="7" customWidth="1"/>
    <col min="26" max="29" width="2.85546875" style="7" customWidth="1"/>
    <col min="30" max="31" width="2.5703125" style="7" customWidth="1"/>
    <col min="32" max="33" width="3.140625" style="7" customWidth="1"/>
    <col min="34" max="35" width="6.140625" style="7" customWidth="1"/>
    <col min="36" max="36" width="1.42578125" style="7" customWidth="1"/>
    <col min="37" max="37" width="3.5703125" style="7" customWidth="1"/>
    <col min="38" max="38" width="3.140625" style="7" customWidth="1"/>
    <col min="39" max="40" width="3.5703125" style="7" customWidth="1"/>
    <col min="41" max="42" width="3.28515625" style="7" customWidth="1"/>
    <col min="43" max="44" width="3" style="7" customWidth="1"/>
    <col min="45" max="46" width="3.140625" style="7" customWidth="1"/>
    <col min="47" max="50" width="3" style="7" customWidth="1"/>
    <col min="51" max="51" width="6.140625" style="7" customWidth="1"/>
    <col min="52" max="52" width="6.7109375" style="7" customWidth="1"/>
    <col min="53" max="53" width="4.7109375" style="7" customWidth="1"/>
    <col min="54" max="54" width="7.42578125" style="7" customWidth="1"/>
    <col min="55" max="55" width="6.42578125" style="7" customWidth="1"/>
    <col min="56" max="57" width="0.7109375" style="7" customWidth="1"/>
    <col min="58" max="61" width="8.5703125" style="7" customWidth="1"/>
    <col min="62" max="62" width="1.42578125" style="7" customWidth="1"/>
    <col min="63" max="63" width="14.140625" style="7" customWidth="1"/>
    <col min="64" max="64" width="1.42578125" style="7" customWidth="1"/>
    <col min="65" max="66" width="8.5703125" style="7" customWidth="1"/>
    <col min="67" max="67" width="0.85546875" style="7" customWidth="1"/>
    <col min="68" max="68" width="0.85546875" style="7" hidden="1" customWidth="1"/>
    <col min="69" max="76" width="9.7109375" style="7" hidden="1" customWidth="1"/>
    <col min="77" max="82" width="9.140625" style="7" hidden="1" customWidth="1"/>
    <col min="83" max="83" width="1.85546875" style="7" hidden="1" customWidth="1"/>
    <col min="84" max="116" width="9.7109375" style="75" hidden="1" customWidth="1"/>
    <col min="117" max="117" width="1.5703125" style="7" hidden="1" customWidth="1"/>
    <col min="118" max="120" width="11.42578125" style="7" hidden="1" customWidth="1"/>
    <col min="121" max="121" width="7.42578125" style="7" hidden="1" customWidth="1"/>
    <col min="122" max="159" width="11.42578125" style="7" hidden="1" customWidth="1"/>
    <col min="160" max="160" width="1.5703125" style="7" hidden="1" customWidth="1"/>
    <col min="161" max="184" width="11.42578125" style="7" hidden="1" customWidth="1"/>
    <col min="185" max="185" width="12" style="7" hidden="1" customWidth="1"/>
    <col min="186" max="197" width="11.42578125" style="7" hidden="1" customWidth="1"/>
    <col min="198" max="198" width="12" style="7" hidden="1" customWidth="1"/>
    <col min="199" max="16384" width="11.42578125" style="7" hidden="1"/>
  </cols>
  <sheetData>
    <row r="1" spans="1:222" ht="45" customHeight="1" x14ac:dyDescent="0.25">
      <c r="A1" s="6"/>
      <c r="B1" s="6"/>
      <c r="C1" s="6"/>
      <c r="D1" s="6"/>
      <c r="E1" s="6"/>
      <c r="F1" s="6"/>
      <c r="G1" s="6"/>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246"/>
      <c r="AW1" s="247"/>
      <c r="AX1" s="247"/>
      <c r="AY1" s="247"/>
      <c r="AZ1" s="247"/>
      <c r="BA1" s="247"/>
      <c r="BB1" s="469" t="s">
        <v>567</v>
      </c>
      <c r="BC1" s="470"/>
      <c r="BD1" s="5"/>
    </row>
    <row r="2" spans="1:222" ht="15.75" customHeight="1" thickBot="1" x14ac:dyDescent="0.3">
      <c r="A2" s="259" t="s">
        <v>568</v>
      </c>
      <c r="B2" s="260"/>
      <c r="C2" s="260"/>
      <c r="D2" s="260"/>
      <c r="E2" s="260"/>
      <c r="F2" s="260"/>
      <c r="G2" s="260"/>
      <c r="H2" s="283" t="s">
        <v>519</v>
      </c>
      <c r="I2" s="283"/>
      <c r="J2" s="283"/>
      <c r="K2" s="283"/>
      <c r="L2" s="283"/>
      <c r="M2" s="283"/>
      <c r="N2" s="283"/>
      <c r="O2" s="283"/>
      <c r="P2" s="283"/>
      <c r="Q2" s="283"/>
      <c r="R2" s="283"/>
      <c r="S2" s="284"/>
      <c r="T2" s="282" t="s">
        <v>520</v>
      </c>
      <c r="U2" s="283"/>
      <c r="V2" s="283"/>
      <c r="W2" s="283"/>
      <c r="X2" s="283"/>
      <c r="Y2" s="283"/>
      <c r="Z2" s="283"/>
      <c r="AA2" s="283"/>
      <c r="AB2" s="284"/>
      <c r="AC2" s="282" t="s">
        <v>521</v>
      </c>
      <c r="AD2" s="283"/>
      <c r="AE2" s="283"/>
      <c r="AF2" s="283"/>
      <c r="AG2" s="283"/>
      <c r="AH2" s="283"/>
      <c r="AI2" s="283"/>
      <c r="AJ2" s="283"/>
      <c r="AK2" s="283"/>
      <c r="AL2" s="284"/>
      <c r="AM2" s="252"/>
      <c r="AN2" s="252"/>
      <c r="AO2" s="282" t="s">
        <v>522</v>
      </c>
      <c r="AP2" s="283"/>
      <c r="AQ2" s="283"/>
      <c r="AR2" s="283"/>
      <c r="AS2" s="283"/>
      <c r="AT2" s="283"/>
      <c r="AU2" s="283"/>
      <c r="AV2" s="283"/>
      <c r="AW2" s="284"/>
      <c r="AX2" s="282" t="s">
        <v>523</v>
      </c>
      <c r="AY2" s="283"/>
      <c r="AZ2" s="283"/>
      <c r="BA2" s="283"/>
      <c r="BB2" s="283"/>
      <c r="BC2" s="283"/>
      <c r="BD2" s="5"/>
    </row>
    <row r="3" spans="1:222" ht="16.5" customHeight="1" thickTop="1" thickBot="1" x14ac:dyDescent="0.3">
      <c r="A3" s="260"/>
      <c r="B3" s="260"/>
      <c r="C3" s="260"/>
      <c r="D3" s="260"/>
      <c r="E3" s="260"/>
      <c r="F3" s="260"/>
      <c r="G3" s="260"/>
      <c r="H3" s="463"/>
      <c r="I3" s="464"/>
      <c r="J3" s="464"/>
      <c r="K3" s="464"/>
      <c r="L3" s="464"/>
      <c r="M3" s="464"/>
      <c r="N3" s="464"/>
      <c r="O3" s="464"/>
      <c r="P3" s="464"/>
      <c r="Q3" s="464"/>
      <c r="R3" s="464"/>
      <c r="S3" s="465"/>
      <c r="T3" s="463"/>
      <c r="U3" s="464"/>
      <c r="V3" s="464"/>
      <c r="W3" s="464"/>
      <c r="X3" s="464"/>
      <c r="Y3" s="464"/>
      <c r="Z3" s="464"/>
      <c r="AA3" s="464"/>
      <c r="AB3" s="465"/>
      <c r="AC3" s="285"/>
      <c r="AD3" s="286"/>
      <c r="AE3" s="286"/>
      <c r="AF3" s="286"/>
      <c r="AG3" s="286"/>
      <c r="AH3" s="286"/>
      <c r="AI3" s="286"/>
      <c r="AJ3" s="286"/>
      <c r="AK3" s="286"/>
      <c r="AL3" s="286"/>
      <c r="AM3" s="286"/>
      <c r="AN3" s="287"/>
      <c r="AO3" s="466"/>
      <c r="AP3" s="467"/>
      <c r="AQ3" s="467"/>
      <c r="AR3" s="467"/>
      <c r="AS3" s="467"/>
      <c r="AT3" s="467"/>
      <c r="AU3" s="467"/>
      <c r="AV3" s="467"/>
      <c r="AW3" s="468"/>
      <c r="AX3" s="285"/>
      <c r="AY3" s="286"/>
      <c r="AZ3" s="286"/>
      <c r="BA3" s="286"/>
      <c r="BB3" s="286"/>
      <c r="BC3" s="287"/>
      <c r="BD3" s="5"/>
    </row>
    <row r="4" spans="1:222" ht="15" customHeight="1" thickTop="1" thickBot="1" x14ac:dyDescent="0.3">
      <c r="A4" s="260"/>
      <c r="B4" s="260"/>
      <c r="C4" s="260"/>
      <c r="D4" s="260"/>
      <c r="E4" s="260"/>
      <c r="F4" s="260"/>
      <c r="G4" s="260"/>
      <c r="H4" s="283" t="s">
        <v>524</v>
      </c>
      <c r="I4" s="283"/>
      <c r="J4" s="283"/>
      <c r="K4" s="283"/>
      <c r="L4" s="283"/>
      <c r="M4" s="283"/>
      <c r="N4" s="283"/>
      <c r="O4" s="283"/>
      <c r="P4" s="283"/>
      <c r="Q4" s="283"/>
      <c r="R4" s="283"/>
      <c r="S4" s="284"/>
      <c r="T4" s="282" t="s">
        <v>525</v>
      </c>
      <c r="U4" s="283"/>
      <c r="V4" s="283"/>
      <c r="W4" s="283"/>
      <c r="X4" s="283"/>
      <c r="Y4" s="283"/>
      <c r="Z4" s="283"/>
      <c r="AA4" s="283"/>
      <c r="AB4" s="283"/>
      <c r="AC4" s="283"/>
      <c r="AD4" s="283"/>
      <c r="AE4" s="284"/>
      <c r="AF4" s="279" t="s">
        <v>526</v>
      </c>
      <c r="AG4" s="280"/>
      <c r="AH4" s="280"/>
      <c r="AI4" s="280"/>
      <c r="AJ4" s="280"/>
      <c r="AK4" s="280"/>
      <c r="AL4" s="280"/>
      <c r="AM4" s="280"/>
      <c r="AN4" s="280"/>
      <c r="AO4" s="280"/>
      <c r="AP4" s="280"/>
      <c r="AQ4" s="280"/>
      <c r="AR4" s="281"/>
      <c r="AS4" s="279" t="s">
        <v>527</v>
      </c>
      <c r="AT4" s="280"/>
      <c r="AU4" s="280"/>
      <c r="AV4" s="280"/>
      <c r="AW4" s="280"/>
      <c r="AX4" s="280"/>
      <c r="AY4" s="280"/>
      <c r="AZ4" s="280"/>
      <c r="BA4" s="280"/>
      <c r="BB4" s="280"/>
      <c r="BC4" s="280"/>
      <c r="BD4" s="5"/>
    </row>
    <row r="5" spans="1:222" ht="16.5" customHeight="1" thickTop="1" thickBot="1" x14ac:dyDescent="0.3">
      <c r="A5" s="260"/>
      <c r="B5" s="260"/>
      <c r="C5" s="260"/>
      <c r="D5" s="260"/>
      <c r="E5" s="260"/>
      <c r="F5" s="260"/>
      <c r="G5" s="260"/>
      <c r="H5" s="285"/>
      <c r="I5" s="286"/>
      <c r="J5" s="286"/>
      <c r="K5" s="286"/>
      <c r="L5" s="286"/>
      <c r="M5" s="286"/>
      <c r="N5" s="286"/>
      <c r="O5" s="286"/>
      <c r="P5" s="286"/>
      <c r="Q5" s="286"/>
      <c r="R5" s="286"/>
      <c r="S5" s="287"/>
      <c r="T5" s="270"/>
      <c r="U5" s="271"/>
      <c r="V5" s="271"/>
      <c r="W5" s="271"/>
      <c r="X5" s="271"/>
      <c r="Y5" s="271"/>
      <c r="Z5" s="271"/>
      <c r="AA5" s="271"/>
      <c r="AB5" s="271"/>
      <c r="AC5" s="271"/>
      <c r="AD5" s="271"/>
      <c r="AE5" s="272"/>
      <c r="AF5" s="270"/>
      <c r="AG5" s="271"/>
      <c r="AH5" s="271"/>
      <c r="AI5" s="271"/>
      <c r="AJ5" s="271"/>
      <c r="AK5" s="271"/>
      <c r="AL5" s="271"/>
      <c r="AM5" s="271"/>
      <c r="AN5" s="271"/>
      <c r="AO5" s="271"/>
      <c r="AP5" s="271"/>
      <c r="AQ5" s="271"/>
      <c r="AR5" s="272"/>
      <c r="AS5" s="261"/>
      <c r="AT5" s="262"/>
      <c r="AU5" s="262"/>
      <c r="AV5" s="262"/>
      <c r="AW5" s="262"/>
      <c r="AX5" s="262"/>
      <c r="AY5" s="262"/>
      <c r="AZ5" s="262"/>
      <c r="BA5" s="262"/>
      <c r="BB5" s="262"/>
      <c r="BC5" s="263"/>
      <c r="BD5" s="5"/>
    </row>
    <row r="6" spans="1:222" ht="16.5" customHeight="1" thickTop="1" thickBot="1" x14ac:dyDescent="0.3">
      <c r="A6" s="260"/>
      <c r="B6" s="260"/>
      <c r="C6" s="260"/>
      <c r="D6" s="260"/>
      <c r="E6" s="260"/>
      <c r="F6" s="260"/>
      <c r="G6" s="260"/>
      <c r="H6" s="283" t="s">
        <v>528</v>
      </c>
      <c r="I6" s="283"/>
      <c r="J6" s="283"/>
      <c r="K6" s="283"/>
      <c r="L6" s="283"/>
      <c r="M6" s="283"/>
      <c r="N6" s="283"/>
      <c r="O6" s="283"/>
      <c r="P6" s="283"/>
      <c r="Q6" s="283"/>
      <c r="R6" s="283"/>
      <c r="S6" s="283"/>
      <c r="T6" s="273"/>
      <c r="U6" s="274"/>
      <c r="V6" s="274"/>
      <c r="W6" s="274"/>
      <c r="X6" s="274"/>
      <c r="Y6" s="274"/>
      <c r="Z6" s="274"/>
      <c r="AA6" s="274"/>
      <c r="AB6" s="274"/>
      <c r="AC6" s="274"/>
      <c r="AD6" s="274"/>
      <c r="AE6" s="275"/>
      <c r="AF6" s="273"/>
      <c r="AG6" s="274"/>
      <c r="AH6" s="274"/>
      <c r="AI6" s="274"/>
      <c r="AJ6" s="274"/>
      <c r="AK6" s="274"/>
      <c r="AL6" s="274"/>
      <c r="AM6" s="274"/>
      <c r="AN6" s="274"/>
      <c r="AO6" s="274"/>
      <c r="AP6" s="274"/>
      <c r="AQ6" s="274"/>
      <c r="AR6" s="275"/>
      <c r="AS6" s="264"/>
      <c r="AT6" s="265"/>
      <c r="AU6" s="265"/>
      <c r="AV6" s="265"/>
      <c r="AW6" s="265"/>
      <c r="AX6" s="265"/>
      <c r="AY6" s="265"/>
      <c r="AZ6" s="265"/>
      <c r="BA6" s="265"/>
      <c r="BB6" s="265"/>
      <c r="BC6" s="266"/>
      <c r="BD6" s="5"/>
    </row>
    <row r="7" spans="1:222" ht="16.5" customHeight="1" thickTop="1" thickBot="1" x14ac:dyDescent="0.3">
      <c r="A7" s="260"/>
      <c r="B7" s="260"/>
      <c r="C7" s="260"/>
      <c r="D7" s="260"/>
      <c r="E7" s="260"/>
      <c r="F7" s="260"/>
      <c r="G7" s="260"/>
      <c r="H7" s="285"/>
      <c r="I7" s="286"/>
      <c r="J7" s="286"/>
      <c r="K7" s="286"/>
      <c r="L7" s="286"/>
      <c r="M7" s="286"/>
      <c r="N7" s="286"/>
      <c r="O7" s="286"/>
      <c r="P7" s="286"/>
      <c r="Q7" s="286"/>
      <c r="R7" s="286"/>
      <c r="S7" s="287"/>
      <c r="T7" s="276"/>
      <c r="U7" s="277"/>
      <c r="V7" s="277"/>
      <c r="W7" s="277"/>
      <c r="X7" s="277"/>
      <c r="Y7" s="277"/>
      <c r="Z7" s="277"/>
      <c r="AA7" s="277"/>
      <c r="AB7" s="277"/>
      <c r="AC7" s="277"/>
      <c r="AD7" s="277"/>
      <c r="AE7" s="278"/>
      <c r="AF7" s="276"/>
      <c r="AG7" s="277"/>
      <c r="AH7" s="277"/>
      <c r="AI7" s="277"/>
      <c r="AJ7" s="277"/>
      <c r="AK7" s="277"/>
      <c r="AL7" s="277"/>
      <c r="AM7" s="277"/>
      <c r="AN7" s="277"/>
      <c r="AO7" s="277"/>
      <c r="AP7" s="277"/>
      <c r="AQ7" s="277"/>
      <c r="AR7" s="278"/>
      <c r="AS7" s="267"/>
      <c r="AT7" s="268"/>
      <c r="AU7" s="268"/>
      <c r="AV7" s="268"/>
      <c r="AW7" s="268"/>
      <c r="AX7" s="268"/>
      <c r="AY7" s="268"/>
      <c r="AZ7" s="268"/>
      <c r="BA7" s="268"/>
      <c r="BB7" s="268"/>
      <c r="BC7" s="269"/>
      <c r="BD7" s="5"/>
    </row>
    <row r="8" spans="1:222" ht="16.5" customHeight="1" thickTop="1" thickBot="1" x14ac:dyDescent="0.3">
      <c r="A8" s="260"/>
      <c r="B8" s="260"/>
      <c r="C8" s="260"/>
      <c r="D8" s="260"/>
      <c r="E8" s="260"/>
      <c r="F8" s="260"/>
      <c r="G8" s="260"/>
      <c r="H8" s="283" t="s">
        <v>529</v>
      </c>
      <c r="I8" s="283"/>
      <c r="J8" s="283"/>
      <c r="K8" s="283"/>
      <c r="L8" s="283"/>
      <c r="M8" s="283"/>
      <c r="N8" s="283"/>
      <c r="O8" s="283"/>
      <c r="P8" s="283"/>
      <c r="Q8" s="283"/>
      <c r="R8" s="283"/>
      <c r="S8" s="284"/>
      <c r="T8" s="282" t="s">
        <v>530</v>
      </c>
      <c r="U8" s="283"/>
      <c r="V8" s="283"/>
      <c r="W8" s="283"/>
      <c r="X8" s="283"/>
      <c r="Y8" s="283"/>
      <c r="Z8" s="283"/>
      <c r="AA8" s="283"/>
      <c r="AB8" s="283"/>
      <c r="AC8" s="283"/>
      <c r="AD8" s="283"/>
      <c r="AE8" s="284"/>
      <c r="AF8" s="282" t="s">
        <v>531</v>
      </c>
      <c r="AG8" s="283"/>
      <c r="AH8" s="283"/>
      <c r="AI8" s="283"/>
      <c r="AJ8" s="283"/>
      <c r="AK8" s="283"/>
      <c r="AL8" s="283"/>
      <c r="AM8" s="283"/>
      <c r="AN8" s="283"/>
      <c r="AO8" s="283"/>
      <c r="AP8" s="283"/>
      <c r="AQ8" s="283"/>
      <c r="AR8" s="284"/>
      <c r="AS8" s="282" t="s">
        <v>532</v>
      </c>
      <c r="AT8" s="283"/>
      <c r="AU8" s="283"/>
      <c r="AV8" s="283"/>
      <c r="AW8" s="283"/>
      <c r="AX8" s="283"/>
      <c r="AY8" s="283"/>
      <c r="AZ8" s="283"/>
      <c r="BA8" s="283"/>
      <c r="BB8" s="283"/>
      <c r="BC8" s="283"/>
      <c r="BD8" s="5"/>
    </row>
    <row r="9" spans="1:222" ht="16.5" customHeight="1" thickTop="1" thickBot="1" x14ac:dyDescent="0.3">
      <c r="A9" s="260"/>
      <c r="B9" s="260"/>
      <c r="C9" s="260"/>
      <c r="D9" s="260"/>
      <c r="E9" s="260"/>
      <c r="F9" s="260"/>
      <c r="G9" s="260"/>
      <c r="H9" s="285"/>
      <c r="I9" s="286"/>
      <c r="J9" s="286"/>
      <c r="K9" s="286"/>
      <c r="L9" s="286"/>
      <c r="M9" s="286"/>
      <c r="N9" s="286"/>
      <c r="O9" s="286"/>
      <c r="P9" s="286"/>
      <c r="Q9" s="286"/>
      <c r="R9" s="286"/>
      <c r="S9" s="287"/>
      <c r="T9" s="270"/>
      <c r="U9" s="271"/>
      <c r="V9" s="271"/>
      <c r="W9" s="271"/>
      <c r="X9" s="271"/>
      <c r="Y9" s="271"/>
      <c r="Z9" s="271"/>
      <c r="AA9" s="271"/>
      <c r="AB9" s="271"/>
      <c r="AC9" s="271"/>
      <c r="AD9" s="271"/>
      <c r="AE9" s="272"/>
      <c r="AF9" s="270"/>
      <c r="AG9" s="271"/>
      <c r="AH9" s="271"/>
      <c r="AI9" s="271"/>
      <c r="AJ9" s="271"/>
      <c r="AK9" s="271"/>
      <c r="AL9" s="271"/>
      <c r="AM9" s="271"/>
      <c r="AN9" s="271"/>
      <c r="AO9" s="271"/>
      <c r="AP9" s="271"/>
      <c r="AQ9" s="271"/>
      <c r="AR9" s="272"/>
      <c r="AS9" s="261"/>
      <c r="AT9" s="262"/>
      <c r="AU9" s="262"/>
      <c r="AV9" s="262"/>
      <c r="AW9" s="262"/>
      <c r="AX9" s="262"/>
      <c r="AY9" s="262"/>
      <c r="AZ9" s="262"/>
      <c r="BA9" s="262"/>
      <c r="BB9" s="262"/>
      <c r="BC9" s="263"/>
      <c r="BD9" s="5"/>
    </row>
    <row r="10" spans="1:222" ht="16.5" customHeight="1" thickTop="1" thickBot="1" x14ac:dyDescent="0.3">
      <c r="A10" s="260"/>
      <c r="B10" s="260"/>
      <c r="C10" s="260"/>
      <c r="D10" s="260"/>
      <c r="E10" s="260"/>
      <c r="F10" s="260"/>
      <c r="G10" s="260"/>
      <c r="H10" s="283" t="s">
        <v>533</v>
      </c>
      <c r="I10" s="283"/>
      <c r="J10" s="283"/>
      <c r="K10" s="283"/>
      <c r="L10" s="283"/>
      <c r="M10" s="283"/>
      <c r="N10" s="283"/>
      <c r="O10" s="283"/>
      <c r="P10" s="283"/>
      <c r="Q10" s="283"/>
      <c r="R10" s="283"/>
      <c r="S10" s="283"/>
      <c r="T10" s="273"/>
      <c r="U10" s="274"/>
      <c r="V10" s="274"/>
      <c r="W10" s="274"/>
      <c r="X10" s="274"/>
      <c r="Y10" s="274"/>
      <c r="Z10" s="274"/>
      <c r="AA10" s="274"/>
      <c r="AB10" s="274"/>
      <c r="AC10" s="274"/>
      <c r="AD10" s="274"/>
      <c r="AE10" s="275"/>
      <c r="AF10" s="273"/>
      <c r="AG10" s="274"/>
      <c r="AH10" s="274"/>
      <c r="AI10" s="274"/>
      <c r="AJ10" s="274"/>
      <c r="AK10" s="274"/>
      <c r="AL10" s="274"/>
      <c r="AM10" s="274"/>
      <c r="AN10" s="274"/>
      <c r="AO10" s="274"/>
      <c r="AP10" s="274"/>
      <c r="AQ10" s="274"/>
      <c r="AR10" s="275"/>
      <c r="AS10" s="264"/>
      <c r="AT10" s="265"/>
      <c r="AU10" s="265"/>
      <c r="AV10" s="265"/>
      <c r="AW10" s="265"/>
      <c r="AX10" s="265"/>
      <c r="AY10" s="265"/>
      <c r="AZ10" s="265"/>
      <c r="BA10" s="265"/>
      <c r="BB10" s="265"/>
      <c r="BC10" s="266"/>
      <c r="BD10" s="5"/>
      <c r="CF10" s="321" t="s">
        <v>534</v>
      </c>
      <c r="CG10" s="321"/>
      <c r="CH10" s="321"/>
      <c r="CI10" s="321"/>
      <c r="CJ10" s="321"/>
      <c r="CK10" s="321"/>
      <c r="CL10" s="321"/>
      <c r="CM10" s="321"/>
      <c r="CN10" s="321"/>
      <c r="CO10" s="321"/>
      <c r="CP10" s="321"/>
      <c r="CQ10" s="321"/>
      <c r="CR10" s="321"/>
      <c r="CS10" s="321"/>
      <c r="CT10" s="321"/>
      <c r="CU10" s="321"/>
      <c r="CV10" s="321"/>
      <c r="CW10" s="321"/>
      <c r="CX10" s="321"/>
      <c r="CY10" s="321"/>
      <c r="CZ10" s="321"/>
      <c r="DA10" s="321"/>
      <c r="DB10" s="321"/>
      <c r="DC10" s="321"/>
      <c r="DD10" s="321"/>
      <c r="DE10" s="321"/>
      <c r="DF10" s="321"/>
      <c r="DG10" s="321"/>
      <c r="DH10" s="321"/>
      <c r="DI10" s="321"/>
      <c r="DJ10" s="321"/>
      <c r="DK10" s="321"/>
      <c r="DL10" s="321"/>
      <c r="DN10" s="321" t="s">
        <v>535</v>
      </c>
      <c r="DO10" s="321"/>
      <c r="DP10" s="321"/>
      <c r="DQ10" s="321"/>
      <c r="DR10" s="321"/>
      <c r="DS10" s="321"/>
      <c r="DT10" s="321"/>
      <c r="DU10" s="321"/>
      <c r="DV10" s="321"/>
      <c r="DW10" s="321"/>
      <c r="DX10" s="321"/>
      <c r="DY10" s="321"/>
      <c r="DZ10" s="321"/>
      <c r="EA10" s="321"/>
      <c r="EB10" s="321"/>
      <c r="EC10" s="321"/>
      <c r="ED10" s="321"/>
      <c r="EE10" s="321"/>
      <c r="EF10" s="321"/>
      <c r="EG10" s="321"/>
      <c r="EH10" s="321"/>
      <c r="EI10" s="321"/>
      <c r="EJ10" s="321"/>
      <c r="EK10" s="321"/>
      <c r="EL10" s="321"/>
      <c r="EM10" s="321"/>
      <c r="EN10" s="321"/>
      <c r="EO10" s="321"/>
      <c r="EP10" s="321"/>
      <c r="EQ10" s="321"/>
      <c r="ER10" s="321"/>
      <c r="ES10" s="321"/>
      <c r="ET10" s="321"/>
      <c r="EU10" s="321"/>
      <c r="EV10" s="321"/>
      <c r="EW10" s="321"/>
      <c r="EX10" s="321"/>
      <c r="EY10" s="321"/>
      <c r="EZ10" s="321"/>
      <c r="FA10" s="321"/>
      <c r="FB10" s="321"/>
      <c r="FC10" s="321"/>
      <c r="FE10" s="321" t="s">
        <v>536</v>
      </c>
      <c r="FF10" s="321"/>
      <c r="FG10" s="321"/>
      <c r="FH10" s="321"/>
      <c r="FI10" s="321"/>
      <c r="FJ10" s="321"/>
      <c r="FK10" s="321"/>
      <c r="FL10" s="321"/>
      <c r="FM10" s="321"/>
      <c r="FN10" s="321"/>
      <c r="FO10" s="321"/>
      <c r="FP10" s="321"/>
      <c r="FQ10" s="321"/>
      <c r="FR10" s="321"/>
      <c r="FS10" s="321"/>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row>
    <row r="11" spans="1:222" ht="16.5" customHeight="1" thickTop="1" thickBot="1" x14ac:dyDescent="0.3">
      <c r="A11" s="260"/>
      <c r="B11" s="260"/>
      <c r="C11" s="260"/>
      <c r="D11" s="260"/>
      <c r="E11" s="260"/>
      <c r="F11" s="260"/>
      <c r="G11" s="260"/>
      <c r="H11" s="285"/>
      <c r="I11" s="286"/>
      <c r="J11" s="286"/>
      <c r="K11" s="286"/>
      <c r="L11" s="286"/>
      <c r="M11" s="286"/>
      <c r="N11" s="286"/>
      <c r="O11" s="286"/>
      <c r="P11" s="286"/>
      <c r="Q11" s="286"/>
      <c r="R11" s="286"/>
      <c r="S11" s="287"/>
      <c r="T11" s="276"/>
      <c r="U11" s="277"/>
      <c r="V11" s="277"/>
      <c r="W11" s="277"/>
      <c r="X11" s="277"/>
      <c r="Y11" s="277"/>
      <c r="Z11" s="277"/>
      <c r="AA11" s="277"/>
      <c r="AB11" s="277"/>
      <c r="AC11" s="277"/>
      <c r="AD11" s="277"/>
      <c r="AE11" s="278"/>
      <c r="AF11" s="276"/>
      <c r="AG11" s="277"/>
      <c r="AH11" s="277"/>
      <c r="AI11" s="277"/>
      <c r="AJ11" s="277"/>
      <c r="AK11" s="277"/>
      <c r="AL11" s="277"/>
      <c r="AM11" s="277"/>
      <c r="AN11" s="277"/>
      <c r="AO11" s="277"/>
      <c r="AP11" s="277"/>
      <c r="AQ11" s="277"/>
      <c r="AR11" s="278"/>
      <c r="AS11" s="267"/>
      <c r="AT11" s="268"/>
      <c r="AU11" s="268"/>
      <c r="AV11" s="268"/>
      <c r="AW11" s="268"/>
      <c r="AX11" s="268"/>
      <c r="AY11" s="268"/>
      <c r="AZ11" s="268"/>
      <c r="BA11" s="268"/>
      <c r="BB11" s="268"/>
      <c r="BC11" s="269"/>
      <c r="BD11" s="5"/>
      <c r="CF11" s="321"/>
      <c r="CG11" s="321"/>
      <c r="CH11" s="321"/>
      <c r="CI11" s="321"/>
      <c r="CJ11" s="321"/>
      <c r="CK11" s="321"/>
      <c r="CL11" s="321"/>
      <c r="CM11" s="321"/>
      <c r="CN11" s="321"/>
      <c r="CO11" s="321"/>
      <c r="CP11" s="321"/>
      <c r="CQ11" s="321"/>
      <c r="CR11" s="321"/>
      <c r="CS11" s="321"/>
      <c r="CT11" s="321"/>
      <c r="CU11" s="321"/>
      <c r="CV11" s="321"/>
      <c r="CW11" s="321"/>
      <c r="CX11" s="321"/>
      <c r="CY11" s="321"/>
      <c r="CZ11" s="321"/>
      <c r="DA11" s="321"/>
      <c r="DB11" s="321"/>
      <c r="DC11" s="321"/>
      <c r="DD11" s="321"/>
      <c r="DE11" s="321"/>
      <c r="DF11" s="321"/>
      <c r="DG11" s="321"/>
      <c r="DH11" s="321"/>
      <c r="DI11" s="321"/>
      <c r="DJ11" s="321"/>
      <c r="DK11" s="321"/>
      <c r="DL11" s="321"/>
      <c r="DN11" s="321"/>
      <c r="DO11" s="321"/>
      <c r="DP11" s="321"/>
      <c r="DQ11" s="321"/>
      <c r="DR11" s="321"/>
      <c r="DS11" s="321"/>
      <c r="DT11" s="321"/>
      <c r="DU11" s="321"/>
      <c r="DV11" s="321"/>
      <c r="DW11" s="321"/>
      <c r="DX11" s="321"/>
      <c r="DY11" s="321"/>
      <c r="DZ11" s="321"/>
      <c r="EA11" s="321"/>
      <c r="EB11" s="321"/>
      <c r="EC11" s="321"/>
      <c r="ED11" s="321"/>
      <c r="EE11" s="321"/>
      <c r="EF11" s="321"/>
      <c r="EG11" s="321"/>
      <c r="EH11" s="321"/>
      <c r="EI11" s="321"/>
      <c r="EJ11" s="321"/>
      <c r="EK11" s="321"/>
      <c r="EL11" s="321"/>
      <c r="EM11" s="321"/>
      <c r="EN11" s="321"/>
      <c r="EO11" s="321"/>
      <c r="EP11" s="321"/>
      <c r="EQ11" s="321"/>
      <c r="ER11" s="321"/>
      <c r="ES11" s="321"/>
      <c r="ET11" s="321"/>
      <c r="EU11" s="321"/>
      <c r="EV11" s="321"/>
      <c r="EW11" s="321"/>
      <c r="EX11" s="321"/>
      <c r="EY11" s="321"/>
      <c r="EZ11" s="321"/>
      <c r="FA11" s="321"/>
      <c r="FB11" s="321"/>
      <c r="FC11" s="321"/>
      <c r="FE11" s="321"/>
      <c r="FF11" s="321"/>
      <c r="FG11" s="321"/>
      <c r="FH11" s="321"/>
      <c r="FI11" s="321"/>
      <c r="FJ11" s="321"/>
      <c r="FK11" s="321"/>
      <c r="FL11" s="321"/>
      <c r="FM11" s="321"/>
      <c r="FN11" s="321"/>
      <c r="FO11" s="321"/>
      <c r="FP11" s="321"/>
      <c r="FQ11" s="321"/>
      <c r="FR11" s="321"/>
      <c r="FS11" s="321"/>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row>
    <row r="12" spans="1:222" ht="7.5" customHeight="1" thickTop="1" x14ac:dyDescent="0.25">
      <c r="A12" s="254"/>
      <c r="B12" s="254"/>
      <c r="C12" s="254"/>
      <c r="D12" s="254"/>
      <c r="E12" s="254"/>
      <c r="F12" s="254"/>
      <c r="G12" s="254"/>
      <c r="BD12" s="5"/>
      <c r="CF12" s="323"/>
      <c r="CG12" s="323"/>
      <c r="CH12" s="323"/>
      <c r="CI12" s="323"/>
      <c r="CJ12" s="323"/>
      <c r="CK12" s="323"/>
      <c r="CL12" s="323"/>
      <c r="CM12" s="323"/>
      <c r="CN12" s="323"/>
      <c r="CO12" s="323"/>
      <c r="CP12" s="323"/>
      <c r="CQ12" s="323"/>
      <c r="CR12" s="323"/>
      <c r="CS12" s="323"/>
      <c r="CT12" s="323"/>
      <c r="CU12" s="323"/>
      <c r="CV12" s="323"/>
      <c r="CW12" s="323"/>
      <c r="CX12" s="323"/>
      <c r="CY12" s="323"/>
      <c r="CZ12" s="323"/>
      <c r="DA12" s="323"/>
      <c r="DB12" s="323"/>
      <c r="DC12" s="323"/>
      <c r="DD12" s="323"/>
      <c r="DE12" s="323"/>
      <c r="DF12" s="323"/>
      <c r="DG12" s="323"/>
      <c r="DH12" s="323"/>
      <c r="DI12" s="323"/>
      <c r="DJ12" s="323"/>
      <c r="DK12" s="323"/>
      <c r="DL12" s="323"/>
      <c r="DN12" s="323"/>
      <c r="DO12" s="323"/>
      <c r="DP12" s="323"/>
      <c r="DQ12" s="323"/>
      <c r="DR12" s="323"/>
      <c r="DS12" s="323"/>
      <c r="DT12" s="323"/>
      <c r="DU12" s="323"/>
      <c r="DV12" s="323"/>
      <c r="DW12" s="323"/>
      <c r="DX12" s="323"/>
      <c r="DY12" s="323"/>
      <c r="DZ12" s="323"/>
      <c r="EA12" s="323"/>
      <c r="EB12" s="323"/>
      <c r="EC12" s="323"/>
      <c r="ED12" s="323"/>
      <c r="EE12" s="323"/>
      <c r="EF12" s="323"/>
      <c r="EG12" s="323"/>
      <c r="EH12" s="323"/>
      <c r="EI12" s="323"/>
      <c r="EJ12" s="323"/>
      <c r="EK12" s="323"/>
      <c r="EL12" s="323"/>
      <c r="EM12" s="323"/>
      <c r="EN12" s="323"/>
      <c r="EO12" s="323"/>
      <c r="EP12" s="323"/>
      <c r="EQ12" s="323"/>
      <c r="ER12" s="323"/>
      <c r="ES12" s="323"/>
      <c r="ET12" s="323"/>
      <c r="EU12" s="323"/>
      <c r="EV12" s="323"/>
      <c r="EW12" s="323"/>
      <c r="EX12" s="323"/>
      <c r="EY12" s="323"/>
      <c r="EZ12" s="323"/>
      <c r="FA12" s="323"/>
      <c r="FB12" s="323"/>
      <c r="FC12" s="323"/>
      <c r="FE12" s="323"/>
      <c r="FF12" s="323"/>
      <c r="FG12" s="323"/>
      <c r="FH12" s="323"/>
      <c r="FI12" s="323"/>
      <c r="FJ12" s="323"/>
      <c r="FK12" s="323"/>
      <c r="FL12" s="323"/>
      <c r="FM12" s="323"/>
      <c r="FN12" s="323"/>
      <c r="FO12" s="323"/>
      <c r="FP12" s="323"/>
      <c r="FQ12" s="323"/>
      <c r="FR12" s="323"/>
      <c r="FS12" s="323"/>
      <c r="FT12" s="324"/>
      <c r="FU12" s="324"/>
      <c r="FV12" s="324"/>
      <c r="FW12" s="324"/>
      <c r="FX12" s="324"/>
      <c r="FY12" s="324"/>
      <c r="FZ12" s="324"/>
      <c r="GA12" s="324"/>
      <c r="GB12" s="324"/>
      <c r="GC12" s="324"/>
      <c r="GD12" s="324"/>
      <c r="GE12" s="324"/>
      <c r="GF12" s="324"/>
      <c r="GG12" s="324"/>
      <c r="GH12" s="324"/>
      <c r="GI12" s="324"/>
      <c r="GJ12" s="324"/>
      <c r="GK12" s="324"/>
      <c r="GL12" s="324"/>
      <c r="GM12" s="324"/>
      <c r="GN12" s="324"/>
      <c r="GO12" s="324"/>
      <c r="GP12" s="324"/>
      <c r="GQ12" s="324"/>
      <c r="GR12" s="324"/>
      <c r="GS12" s="324"/>
      <c r="GT12" s="324"/>
      <c r="GU12" s="324"/>
      <c r="GV12" s="324"/>
      <c r="GW12" s="324"/>
      <c r="GX12" s="324"/>
      <c r="GY12" s="324"/>
      <c r="GZ12" s="324"/>
      <c r="HA12" s="324"/>
      <c r="HB12" s="324"/>
      <c r="HC12" s="324"/>
      <c r="HD12" s="324"/>
      <c r="HE12" s="324"/>
      <c r="HF12" s="324"/>
      <c r="HG12" s="324"/>
      <c r="HH12" s="324"/>
      <c r="HI12" s="324"/>
      <c r="HJ12" s="324"/>
      <c r="HK12" s="324"/>
      <c r="HL12" s="324"/>
      <c r="HM12" s="324"/>
      <c r="HN12" s="324"/>
    </row>
    <row r="13" spans="1:222" ht="32.1" customHeight="1" thickBot="1" x14ac:dyDescent="0.3">
      <c r="A13" s="445" t="s">
        <v>6</v>
      </c>
      <c r="B13" s="446"/>
      <c r="C13" s="357" t="s">
        <v>537</v>
      </c>
      <c r="D13" s="446"/>
      <c r="E13" s="357" t="s">
        <v>538</v>
      </c>
      <c r="F13" s="347"/>
      <c r="G13" s="8"/>
      <c r="H13" s="454" t="s">
        <v>539</v>
      </c>
      <c r="I13" s="454"/>
      <c r="J13" s="354"/>
      <c r="K13" s="353" t="s">
        <v>540</v>
      </c>
      <c r="L13" s="454"/>
      <c r="M13" s="354"/>
      <c r="N13" s="351" t="s">
        <v>541</v>
      </c>
      <c r="O13" s="357" t="s">
        <v>542</v>
      </c>
      <c r="P13" s="347"/>
      <c r="Q13" s="347"/>
      <c r="R13" s="347"/>
      <c r="S13" s="446"/>
      <c r="T13" s="357" t="s">
        <v>543</v>
      </c>
      <c r="U13" s="446"/>
      <c r="V13" s="392" t="s">
        <v>289</v>
      </c>
      <c r="W13" s="364"/>
      <c r="X13" s="364"/>
      <c r="Y13" s="365"/>
      <c r="Z13" s="389" t="s">
        <v>544</v>
      </c>
      <c r="AA13" s="390"/>
      <c r="AB13" s="390"/>
      <c r="AC13" s="391"/>
      <c r="AD13" s="387" t="s">
        <v>1</v>
      </c>
      <c r="AE13" s="388"/>
      <c r="AF13" s="388"/>
      <c r="AG13" s="388"/>
      <c r="AH13" s="357" t="s">
        <v>285</v>
      </c>
      <c r="AI13" s="357" t="s">
        <v>286</v>
      </c>
      <c r="AJ13" s="8"/>
      <c r="AK13" s="364" t="s">
        <v>11</v>
      </c>
      <c r="AL13" s="364"/>
      <c r="AM13" s="364"/>
      <c r="AN13" s="365"/>
      <c r="AO13" s="392" t="s">
        <v>8</v>
      </c>
      <c r="AP13" s="364"/>
      <c r="AQ13" s="364"/>
      <c r="AR13" s="365"/>
      <c r="AS13" s="353" t="s">
        <v>571</v>
      </c>
      <c r="AT13" s="354"/>
      <c r="AU13" s="353" t="s">
        <v>545</v>
      </c>
      <c r="AV13" s="354"/>
      <c r="AW13" s="353" t="s">
        <v>546</v>
      </c>
      <c r="AX13" s="354"/>
      <c r="AY13" s="351" t="s">
        <v>547</v>
      </c>
      <c r="AZ13" s="357" t="s">
        <v>572</v>
      </c>
      <c r="BA13" s="347"/>
      <c r="BB13" s="347"/>
      <c r="BC13" s="358"/>
      <c r="BD13" s="5"/>
      <c r="BE13" s="5"/>
      <c r="BF13" s="362" t="s">
        <v>548</v>
      </c>
      <c r="BG13" s="363"/>
      <c r="BH13" s="363"/>
      <c r="BI13" s="363"/>
      <c r="BJ13" s="137"/>
      <c r="BK13" s="347" t="s">
        <v>557</v>
      </c>
      <c r="BL13" s="137"/>
      <c r="BM13" s="487" t="s">
        <v>549</v>
      </c>
      <c r="BN13" s="488"/>
      <c r="BQ13" s="343" t="s">
        <v>97</v>
      </c>
      <c r="BR13" s="343" t="s">
        <v>209</v>
      </c>
      <c r="BS13" s="343" t="s">
        <v>213</v>
      </c>
      <c r="BT13" s="343" t="s">
        <v>130</v>
      </c>
      <c r="BU13" s="343" t="s">
        <v>98</v>
      </c>
      <c r="BV13" s="343" t="s">
        <v>210</v>
      </c>
      <c r="BW13" s="343" t="s">
        <v>211</v>
      </c>
      <c r="BX13" s="343" t="s">
        <v>212</v>
      </c>
      <c r="BY13" s="345" t="s">
        <v>278</v>
      </c>
      <c r="BZ13" s="345" t="s">
        <v>279</v>
      </c>
      <c r="CA13" s="343" t="s">
        <v>280</v>
      </c>
      <c r="CB13" s="343" t="s">
        <v>281</v>
      </c>
      <c r="CC13" s="343" t="s">
        <v>282</v>
      </c>
      <c r="CD13" s="485" t="s">
        <v>283</v>
      </c>
      <c r="CF13" s="477" t="s">
        <v>303</v>
      </c>
      <c r="CG13" s="477" t="s">
        <v>214</v>
      </c>
      <c r="CH13" s="477" t="s">
        <v>312</v>
      </c>
      <c r="CI13" s="477" t="s">
        <v>0</v>
      </c>
      <c r="CJ13" s="327" t="s">
        <v>1</v>
      </c>
      <c r="CK13" s="327" t="s">
        <v>348</v>
      </c>
      <c r="CL13" s="477" t="s">
        <v>324</v>
      </c>
      <c r="CM13" s="477" t="s">
        <v>357</v>
      </c>
      <c r="CN13" s="477" t="s">
        <v>358</v>
      </c>
      <c r="CO13" s="477" t="s">
        <v>338</v>
      </c>
      <c r="CP13" s="477" t="s">
        <v>323</v>
      </c>
      <c r="CQ13" s="327" t="s">
        <v>361</v>
      </c>
      <c r="CR13" s="327" t="s">
        <v>360</v>
      </c>
      <c r="CS13" s="327" t="s">
        <v>478</v>
      </c>
      <c r="CT13" s="327" t="s">
        <v>480</v>
      </c>
      <c r="CU13" s="327" t="s">
        <v>479</v>
      </c>
      <c r="CV13" s="477" t="s">
        <v>322</v>
      </c>
      <c r="CW13" s="335" t="s">
        <v>303</v>
      </c>
      <c r="CX13" s="341" t="s">
        <v>335</v>
      </c>
      <c r="CY13" s="335" t="s">
        <v>2</v>
      </c>
      <c r="CZ13" s="335" t="s">
        <v>1</v>
      </c>
      <c r="DA13" s="335" t="s">
        <v>298</v>
      </c>
      <c r="DB13" s="335" t="s">
        <v>297</v>
      </c>
      <c r="DC13" s="331" t="s">
        <v>214</v>
      </c>
      <c r="DD13" s="331" t="s">
        <v>312</v>
      </c>
      <c r="DE13" s="331" t="s">
        <v>336</v>
      </c>
      <c r="DF13" s="331" t="s">
        <v>337</v>
      </c>
      <c r="DG13" s="333" t="s">
        <v>338</v>
      </c>
      <c r="DH13" s="333" t="s">
        <v>305</v>
      </c>
      <c r="DI13" s="331" t="s">
        <v>339</v>
      </c>
      <c r="DJ13" s="331" t="s">
        <v>306</v>
      </c>
      <c r="DK13" s="331" t="s">
        <v>292</v>
      </c>
      <c r="DL13" s="329" t="s">
        <v>290</v>
      </c>
      <c r="DN13" s="338" t="s">
        <v>369</v>
      </c>
      <c r="DO13" s="338" t="s">
        <v>368</v>
      </c>
      <c r="DP13" s="338" t="s">
        <v>370</v>
      </c>
      <c r="DQ13" s="337" t="s">
        <v>371</v>
      </c>
      <c r="DR13" s="337" t="s">
        <v>373</v>
      </c>
      <c r="DS13" s="338" t="s">
        <v>368</v>
      </c>
      <c r="DT13" s="337" t="s">
        <v>401</v>
      </c>
      <c r="DU13" s="337" t="s">
        <v>372</v>
      </c>
      <c r="DV13" s="338" t="s">
        <v>395</v>
      </c>
      <c r="DW13" s="338" t="s">
        <v>376</v>
      </c>
      <c r="DX13" s="338" t="s">
        <v>382</v>
      </c>
      <c r="DY13" s="338" t="s">
        <v>2</v>
      </c>
      <c r="DZ13" s="338" t="s">
        <v>390</v>
      </c>
      <c r="EA13" s="338" t="s">
        <v>392</v>
      </c>
      <c r="EB13" s="338" t="s">
        <v>312</v>
      </c>
      <c r="EC13" s="338" t="s">
        <v>393</v>
      </c>
      <c r="ED13" s="338" t="s">
        <v>368</v>
      </c>
      <c r="EE13" s="337" t="s">
        <v>408</v>
      </c>
      <c r="EF13" s="337" t="s">
        <v>391</v>
      </c>
      <c r="EG13" s="338" t="s">
        <v>396</v>
      </c>
      <c r="EH13" s="338" t="s">
        <v>392</v>
      </c>
      <c r="EI13" s="338" t="s">
        <v>368</v>
      </c>
      <c r="EJ13" s="337" t="s">
        <v>409</v>
      </c>
      <c r="EK13" s="337" t="s">
        <v>394</v>
      </c>
      <c r="EL13" s="338" t="s">
        <v>214</v>
      </c>
      <c r="EM13" s="338" t="s">
        <v>312</v>
      </c>
      <c r="EN13" s="338" t="s">
        <v>397</v>
      </c>
      <c r="EO13" s="338" t="s">
        <v>368</v>
      </c>
      <c r="EP13" s="337" t="s">
        <v>410</v>
      </c>
      <c r="EQ13" s="337" t="s">
        <v>398</v>
      </c>
      <c r="ER13" s="338" t="s">
        <v>376</v>
      </c>
      <c r="ES13" s="338" t="s">
        <v>400</v>
      </c>
      <c r="ET13" s="338" t="s">
        <v>405</v>
      </c>
      <c r="EU13" s="338" t="s">
        <v>404</v>
      </c>
      <c r="EV13" s="338" t="s">
        <v>406</v>
      </c>
      <c r="EW13" s="338" t="s">
        <v>402</v>
      </c>
      <c r="EX13" s="338" t="s">
        <v>368</v>
      </c>
      <c r="EY13" s="337" t="s">
        <v>411</v>
      </c>
      <c r="EZ13" s="337" t="s">
        <v>399</v>
      </c>
      <c r="FA13" s="489" t="s">
        <v>407</v>
      </c>
      <c r="FB13" s="489" t="s">
        <v>374</v>
      </c>
      <c r="FC13" s="489" t="s">
        <v>366</v>
      </c>
      <c r="FE13" s="320" t="s">
        <v>0</v>
      </c>
      <c r="FF13" s="320" t="s">
        <v>1</v>
      </c>
      <c r="FG13" s="482" t="s">
        <v>422</v>
      </c>
      <c r="FH13" s="320" t="s">
        <v>312</v>
      </c>
      <c r="FI13" s="320" t="s">
        <v>312</v>
      </c>
      <c r="FJ13" s="320" t="s">
        <v>378</v>
      </c>
      <c r="FK13" s="482" t="s">
        <v>421</v>
      </c>
      <c r="FL13" s="320" t="s">
        <v>418</v>
      </c>
      <c r="FM13" s="320" t="s">
        <v>419</v>
      </c>
      <c r="FN13" s="320" t="s">
        <v>420</v>
      </c>
      <c r="FO13" s="320" t="s">
        <v>427</v>
      </c>
      <c r="FP13" s="320" t="s">
        <v>428</v>
      </c>
      <c r="FQ13" s="320" t="s">
        <v>429</v>
      </c>
      <c r="FR13" s="320" t="s">
        <v>388</v>
      </c>
      <c r="FS13" s="320" t="s">
        <v>430</v>
      </c>
      <c r="FT13" s="320" t="s">
        <v>431</v>
      </c>
      <c r="FU13" s="320" t="s">
        <v>423</v>
      </c>
      <c r="FV13" s="320" t="s">
        <v>432</v>
      </c>
      <c r="FW13" s="320" t="s">
        <v>433</v>
      </c>
      <c r="FX13" s="320" t="s">
        <v>434</v>
      </c>
      <c r="FY13" s="320" t="s">
        <v>435</v>
      </c>
      <c r="FZ13" s="320" t="s">
        <v>437</v>
      </c>
      <c r="GA13" s="320" t="s">
        <v>436</v>
      </c>
      <c r="GB13" s="320" t="s">
        <v>438</v>
      </c>
      <c r="GC13" s="320" t="s">
        <v>439</v>
      </c>
      <c r="GD13" s="320" t="s">
        <v>440</v>
      </c>
      <c r="GE13" s="320" t="s">
        <v>441</v>
      </c>
      <c r="GF13" s="320" t="s">
        <v>442</v>
      </c>
      <c r="GG13" s="320" t="s">
        <v>443</v>
      </c>
      <c r="GH13" s="320" t="s">
        <v>444</v>
      </c>
      <c r="GI13" s="320" t="s">
        <v>445</v>
      </c>
      <c r="GJ13" s="320" t="s">
        <v>446</v>
      </c>
      <c r="GK13" s="320" t="s">
        <v>424</v>
      </c>
      <c r="GL13" s="320" t="s">
        <v>425</v>
      </c>
      <c r="GM13" s="320" t="s">
        <v>426</v>
      </c>
      <c r="GN13" s="320" t="s">
        <v>448</v>
      </c>
      <c r="GO13" s="320" t="s">
        <v>449</v>
      </c>
      <c r="GP13" s="320" t="s">
        <v>450</v>
      </c>
      <c r="GQ13" s="325" t="s">
        <v>451</v>
      </c>
      <c r="GR13" s="326" t="s">
        <v>2</v>
      </c>
      <c r="GS13" s="320" t="s">
        <v>390</v>
      </c>
      <c r="GT13" s="320" t="s">
        <v>452</v>
      </c>
      <c r="GU13" s="320" t="s">
        <v>418</v>
      </c>
      <c r="GV13" s="320" t="s">
        <v>453</v>
      </c>
      <c r="GW13" s="320" t="s">
        <v>454</v>
      </c>
      <c r="GX13" s="320" t="s">
        <v>455</v>
      </c>
      <c r="GY13" s="320" t="s">
        <v>456</v>
      </c>
      <c r="GZ13" s="320" t="s">
        <v>457</v>
      </c>
      <c r="HA13" s="320" t="s">
        <v>458</v>
      </c>
      <c r="HB13" s="320" t="s">
        <v>459</v>
      </c>
      <c r="HC13" s="320" t="s">
        <v>460</v>
      </c>
      <c r="HD13" s="320" t="s">
        <v>461</v>
      </c>
      <c r="HE13" s="320" t="s">
        <v>462</v>
      </c>
      <c r="HF13" s="320" t="s">
        <v>463</v>
      </c>
      <c r="HG13" s="320" t="s">
        <v>464</v>
      </c>
      <c r="HH13" s="320" t="s">
        <v>465</v>
      </c>
      <c r="HI13" s="320" t="s">
        <v>466</v>
      </c>
      <c r="HJ13" s="320" t="s">
        <v>448</v>
      </c>
      <c r="HK13" s="320" t="s">
        <v>449</v>
      </c>
      <c r="HL13" s="320" t="s">
        <v>467</v>
      </c>
      <c r="HM13" s="320" t="s">
        <v>468</v>
      </c>
      <c r="HN13" s="320" t="s">
        <v>469</v>
      </c>
    </row>
    <row r="14" spans="1:222" ht="42.75" customHeight="1" x14ac:dyDescent="0.25">
      <c r="A14" s="447"/>
      <c r="B14" s="448"/>
      <c r="C14" s="359"/>
      <c r="D14" s="448"/>
      <c r="E14" s="359"/>
      <c r="F14" s="360"/>
      <c r="G14" s="8"/>
      <c r="H14" s="455"/>
      <c r="I14" s="455"/>
      <c r="J14" s="356"/>
      <c r="K14" s="355"/>
      <c r="L14" s="455"/>
      <c r="M14" s="356"/>
      <c r="N14" s="352"/>
      <c r="O14" s="375" t="s">
        <v>550</v>
      </c>
      <c r="P14" s="453"/>
      <c r="Q14" s="253" t="s">
        <v>7</v>
      </c>
      <c r="R14" s="451" t="s">
        <v>25</v>
      </c>
      <c r="S14" s="452"/>
      <c r="T14" s="359"/>
      <c r="U14" s="448"/>
      <c r="V14" s="375" t="s">
        <v>569</v>
      </c>
      <c r="W14" s="453"/>
      <c r="X14" s="453" t="s">
        <v>570</v>
      </c>
      <c r="Y14" s="376"/>
      <c r="Z14" s="373" t="s">
        <v>48</v>
      </c>
      <c r="AA14" s="374"/>
      <c r="AB14" s="373" t="s">
        <v>49</v>
      </c>
      <c r="AC14" s="374"/>
      <c r="AD14" s="375" t="s">
        <v>50</v>
      </c>
      <c r="AE14" s="376"/>
      <c r="AF14" s="375" t="s">
        <v>551</v>
      </c>
      <c r="AG14" s="376"/>
      <c r="AH14" s="359"/>
      <c r="AI14" s="359"/>
      <c r="AJ14" s="8"/>
      <c r="AK14" s="453" t="s">
        <v>170</v>
      </c>
      <c r="AL14" s="376"/>
      <c r="AM14" s="453" t="s">
        <v>481</v>
      </c>
      <c r="AN14" s="376"/>
      <c r="AO14" s="375" t="s">
        <v>24</v>
      </c>
      <c r="AP14" s="376"/>
      <c r="AQ14" s="375" t="s">
        <v>12</v>
      </c>
      <c r="AR14" s="376"/>
      <c r="AS14" s="355"/>
      <c r="AT14" s="356"/>
      <c r="AU14" s="355"/>
      <c r="AV14" s="356"/>
      <c r="AW14" s="355"/>
      <c r="AX14" s="356"/>
      <c r="AY14" s="352"/>
      <c r="AZ14" s="359"/>
      <c r="BA14" s="360"/>
      <c r="BB14" s="360"/>
      <c r="BC14" s="361"/>
      <c r="BD14" s="5"/>
      <c r="BE14" s="5"/>
      <c r="BF14" s="71" t="s">
        <v>412</v>
      </c>
      <c r="BG14" s="72" t="s">
        <v>413</v>
      </c>
      <c r="BH14" s="72" t="s">
        <v>414</v>
      </c>
      <c r="BI14" s="73" t="s">
        <v>415</v>
      </c>
      <c r="BJ14" s="138"/>
      <c r="BK14" s="348"/>
      <c r="BL14" s="138"/>
      <c r="BM14" s="139" t="s">
        <v>416</v>
      </c>
      <c r="BN14" s="140" t="s">
        <v>417</v>
      </c>
      <c r="BQ14" s="344"/>
      <c r="BR14" s="344"/>
      <c r="BS14" s="344"/>
      <c r="BT14" s="344"/>
      <c r="BU14" s="344"/>
      <c r="BV14" s="344"/>
      <c r="BW14" s="344"/>
      <c r="BX14" s="344"/>
      <c r="BY14" s="346"/>
      <c r="BZ14" s="346"/>
      <c r="CA14" s="344"/>
      <c r="CB14" s="344"/>
      <c r="CC14" s="344"/>
      <c r="CD14" s="486"/>
      <c r="CF14" s="478"/>
      <c r="CG14" s="478"/>
      <c r="CH14" s="478"/>
      <c r="CI14" s="478"/>
      <c r="CJ14" s="328"/>
      <c r="CK14" s="328"/>
      <c r="CL14" s="478"/>
      <c r="CM14" s="478"/>
      <c r="CN14" s="478"/>
      <c r="CO14" s="478"/>
      <c r="CP14" s="478"/>
      <c r="CQ14" s="328"/>
      <c r="CR14" s="328"/>
      <c r="CS14" s="328"/>
      <c r="CT14" s="328"/>
      <c r="CU14" s="328"/>
      <c r="CV14" s="478"/>
      <c r="CW14" s="336"/>
      <c r="CX14" s="342"/>
      <c r="CY14" s="336"/>
      <c r="CZ14" s="336"/>
      <c r="DA14" s="336"/>
      <c r="DB14" s="336"/>
      <c r="DC14" s="332"/>
      <c r="DD14" s="332"/>
      <c r="DE14" s="332"/>
      <c r="DF14" s="332"/>
      <c r="DG14" s="334"/>
      <c r="DH14" s="334"/>
      <c r="DI14" s="332"/>
      <c r="DJ14" s="332"/>
      <c r="DK14" s="332"/>
      <c r="DL14" s="330"/>
      <c r="DN14" s="338"/>
      <c r="DO14" s="338"/>
      <c r="DP14" s="338"/>
      <c r="DQ14" s="337"/>
      <c r="DR14" s="337"/>
      <c r="DS14" s="338"/>
      <c r="DT14" s="337"/>
      <c r="DU14" s="337"/>
      <c r="DV14" s="338"/>
      <c r="DW14" s="338"/>
      <c r="DX14" s="338"/>
      <c r="DY14" s="338"/>
      <c r="DZ14" s="338"/>
      <c r="EA14" s="338"/>
      <c r="EB14" s="338"/>
      <c r="EC14" s="338"/>
      <c r="ED14" s="338"/>
      <c r="EE14" s="337"/>
      <c r="EF14" s="337"/>
      <c r="EG14" s="338"/>
      <c r="EH14" s="338"/>
      <c r="EI14" s="338"/>
      <c r="EJ14" s="337"/>
      <c r="EK14" s="337"/>
      <c r="EL14" s="338"/>
      <c r="EM14" s="338"/>
      <c r="EN14" s="338"/>
      <c r="EO14" s="338"/>
      <c r="EP14" s="337"/>
      <c r="EQ14" s="337"/>
      <c r="ER14" s="338"/>
      <c r="ES14" s="338"/>
      <c r="ET14" s="338"/>
      <c r="EU14" s="338"/>
      <c r="EV14" s="338"/>
      <c r="EW14" s="338"/>
      <c r="EX14" s="338"/>
      <c r="EY14" s="337"/>
      <c r="EZ14" s="337"/>
      <c r="FA14" s="489"/>
      <c r="FB14" s="489"/>
      <c r="FC14" s="489"/>
      <c r="FE14" s="320"/>
      <c r="FF14" s="320"/>
      <c r="FG14" s="483"/>
      <c r="FH14" s="320"/>
      <c r="FI14" s="320"/>
      <c r="FJ14" s="320"/>
      <c r="FK14" s="483"/>
      <c r="FL14" s="320"/>
      <c r="FM14" s="320"/>
      <c r="FN14" s="320"/>
      <c r="FO14" s="320"/>
      <c r="FP14" s="320"/>
      <c r="FQ14" s="320"/>
      <c r="FR14" s="320"/>
      <c r="FS14" s="320"/>
      <c r="FT14" s="320"/>
      <c r="FU14" s="320"/>
      <c r="FV14" s="320"/>
      <c r="FW14" s="320"/>
      <c r="FX14" s="320"/>
      <c r="FY14" s="320"/>
      <c r="FZ14" s="320"/>
      <c r="GA14" s="320"/>
      <c r="GB14" s="320"/>
      <c r="GC14" s="320"/>
      <c r="GD14" s="320"/>
      <c r="GE14" s="320"/>
      <c r="GF14" s="320"/>
      <c r="GG14" s="320"/>
      <c r="GH14" s="320"/>
      <c r="GI14" s="320"/>
      <c r="GJ14" s="320"/>
      <c r="GK14" s="320"/>
      <c r="GL14" s="320"/>
      <c r="GM14" s="320"/>
      <c r="GN14" s="320"/>
      <c r="GO14" s="320"/>
      <c r="GP14" s="320"/>
      <c r="GQ14" s="325"/>
      <c r="GR14" s="326"/>
      <c r="GS14" s="320"/>
      <c r="GT14" s="320"/>
      <c r="GU14" s="320"/>
      <c r="GV14" s="320"/>
      <c r="GW14" s="320"/>
      <c r="GX14" s="320"/>
      <c r="GY14" s="320"/>
      <c r="GZ14" s="320"/>
      <c r="HA14" s="320"/>
      <c r="HB14" s="320"/>
      <c r="HC14" s="320"/>
      <c r="HD14" s="320"/>
      <c r="HE14" s="320"/>
      <c r="HF14" s="320"/>
      <c r="HG14" s="320"/>
      <c r="HH14" s="320"/>
      <c r="HI14" s="320"/>
      <c r="HJ14" s="320"/>
      <c r="HK14" s="320"/>
      <c r="HL14" s="320"/>
      <c r="HM14" s="320"/>
      <c r="HN14" s="320"/>
    </row>
    <row r="15" spans="1:222" x14ac:dyDescent="0.25">
      <c r="A15" s="349"/>
      <c r="B15" s="350"/>
      <c r="C15" s="417"/>
      <c r="D15" s="350"/>
      <c r="E15" s="349"/>
      <c r="F15" s="350"/>
      <c r="G15" s="17"/>
      <c r="H15" s="420"/>
      <c r="I15" s="421"/>
      <c r="J15" s="421"/>
      <c r="K15" s="418"/>
      <c r="L15" s="418"/>
      <c r="M15" s="419"/>
      <c r="N15" s="10"/>
      <c r="O15" s="456"/>
      <c r="P15" s="457"/>
      <c r="Q15" s="228" t="s">
        <v>7</v>
      </c>
      <c r="R15" s="449"/>
      <c r="S15" s="450"/>
      <c r="T15" s="458"/>
      <c r="U15" s="459"/>
      <c r="V15" s="289"/>
      <c r="W15" s="290"/>
      <c r="X15" s="460" t="str">
        <f t="shared" ref="X15" si="0">IF(OR(Z15&lt;&gt;0,AB15&lt;&gt;0),CONCATENATE("/",V15+Z15+AB15),"")</f>
        <v/>
      </c>
      <c r="Y15" s="461"/>
      <c r="Z15" s="371"/>
      <c r="AA15" s="372"/>
      <c r="AB15" s="385"/>
      <c r="AC15" s="386"/>
      <c r="AD15" s="379"/>
      <c r="AE15" s="380"/>
      <c r="AF15" s="395"/>
      <c r="AG15" s="396"/>
      <c r="AH15" s="229"/>
      <c r="AI15" s="69" t="str">
        <f>IF(OR(H15="KP-TypH",H15="KP-TypJ"),350,IF(OR(ISBLANK(H15),H15="KP-TypB",H15="KP-TypC",H15="KP-TypD",H15="KP-TypK"),"",MAX(200,IF(OR(K15="00",ISBLANK(K15)),IF(OR(H15="KP-1",H15="KPE-1",H15="KP-3",H15="KPE-3",H15="KP-11"),MAX((ABS(T15)+1)*100,ROUNDUP(100*MAX(1,ABS(R15)^2/14^2)*O15*2,-1)/2),IF(OR(H15="KP-5",H15="KP-8",H15="KP-10"),(ABS(T15)+1)*100,IF(H15="KP-6",ABS(T15)*100,IF(H15="KP-TypG",300,MAX((ABS(T15)+1)*100,ROUNDUP(100*O15,0)))))),IF(OR(H15="KP-1",H15="KPE-1",H15="KP-3",H15="KPE-3",H15="KP-11"),MAX((ABS(CD15)+1)*100,ROUNDUP(100*MAX(1,ABS(CB15)^2/14^2)*BZ15*2,-1)/2),IF(OR(H15="KP-5",H15="KP-8",H15="KP-10"),(ABS(CD15)+1)*100,IF(H15="KP-6",ABS(CD15)*100,IF(H15="KP-TypG",300,MAX((ABS(CD15)+1)*100,ROUNDUP(100*BZ15,0))))))))))</f>
        <v/>
      </c>
      <c r="AJ15" s="18"/>
      <c r="AK15" s="349"/>
      <c r="AL15" s="350"/>
      <c r="AM15" s="349"/>
      <c r="AN15" s="350"/>
      <c r="AO15" s="318" t="str">
        <f>IF(AND(OR(H15="KP-8",H15="KP-10"),V15&gt;0),VLOOKUP(V15,'.'!$AO$32:$AQ$40,2,FALSE),"")</f>
        <v/>
      </c>
      <c r="AP15" s="319"/>
      <c r="AQ15" s="377" t="str">
        <f>IF(AND(OR(H15="KP-8",H15="KP-10"),V15&gt;0),VLOOKUP(V15,'.'!$AO$32:$AQ$40,3,FALSE),"")</f>
        <v/>
      </c>
      <c r="AR15" s="378"/>
      <c r="AS15" s="381" t="str">
        <f>IF(AND($H15="",$AD15="SW"),"EI120",IF(AND($H15="",OR($AD15="XPS",$AD15="FG",$AD15="(PUR)")),"EI60",IF(AND(ISBLANK($H15)=FALSE,$AD15="SW"),"REI120",IF(AND(ISBLANK($H15)=FALSE,OR($AD15="XPS",$AD15="FG",$AD15="(PUR)")),"REI60",""))))</f>
        <v/>
      </c>
      <c r="AT15" s="382"/>
      <c r="AU15" s="294"/>
      <c r="AV15" s="295"/>
      <c r="AW15" s="294"/>
      <c r="AX15" s="295"/>
      <c r="AY15" s="233"/>
      <c r="AZ15" s="366"/>
      <c r="BA15" s="367"/>
      <c r="BB15" s="367"/>
      <c r="BC15" s="368"/>
      <c r="BD15" s="5"/>
      <c r="BE15" s="5"/>
      <c r="BF15" s="125" t="str">
        <f>IF($AZ15="",IF(ISNUMBER($CV15),IF(OR($H15="KP-9",$H15="KPE-9"),"sur site",IF(OR($H15="KP-1",$H15="KPE-1",$H15="KP-2",$H15="KP-3",$H15="KPE-3",$H15="KP-7",$H15="KP-10",$H15="KP-11",$H15="KP-12",$H15="KP-TypJ"),CONCATENATE($CF15,ROUND($CV15,0)))),"-"),"x")</f>
        <v>-</v>
      </c>
      <c r="BG15" s="126" t="str">
        <f>IF($AZ15="",IF(ISNUMBER($DB15),CONCATENATE($CW15,ROUND($DB15,0)),"-"),"x")</f>
        <v>-</v>
      </c>
      <c r="BH15" s="127" t="str">
        <f>IF($AZ15="",IF(ISNUMBER($DK15),ROUND($DK15,0),"-"),"x")</f>
        <v>-</v>
      </c>
      <c r="BI15" s="127" t="str">
        <f>IF($AZ15="",IF(ISNUMBER($DL15),ROUND($DL15,0),"-"),"x")</f>
        <v>-</v>
      </c>
      <c r="BJ15" s="136"/>
      <c r="BK15" s="176" t="str">
        <f>IF($AZ15="",IF(OR($H15="KP-1",$H15="KPE-1",$H15="KP-2",$H15="KP-3",$H15="KPE-3",$H15="KP-7",$H15="KP-10",$H15="KP-11",$H15="KP-12",$H15="KP-TypJ"),IF(AND(ISNUMBER($HN15),ISNUMBER($AF15),NOT($V15="")),MROUND($HN15,50),"-"),"-"),"x")</f>
        <v>-</v>
      </c>
      <c r="BL15" s="136"/>
      <c r="BM15" s="142" t="str">
        <f>IF($AZ15="",IF(AND(ISNUMBER($FC15),ISNUMBER($FA15),ISNUMBER($FA15),$FB15&gt;0),$FC15,"-"),"x")</f>
        <v>-</v>
      </c>
      <c r="BN15" s="142" t="str">
        <f>IF(AND(ISNUMBER($AF15),ISNUMBER($BM15)),($AF15/1000)/$BM15,IF($BM15="x","x","-"))</f>
        <v>-</v>
      </c>
      <c r="BQ15" s="223" t="str">
        <f>IF($H15="","leer",VLOOKUP($H15,'.'!$AO$7:$AY$28,2,FALSE))</f>
        <v>leer</v>
      </c>
      <c r="BR15" s="223" t="str">
        <f>IF($H15="","leer",VLOOKUP($H15,'.'!$AO$7:$AY$28,3,FALSE))</f>
        <v>leer</v>
      </c>
      <c r="BS15" s="223" t="str">
        <f>IF($H15="","Dleer.",IF(OR(K15="QD43",K15="QD43q"),"TypQD43D.",IF(OR(K15="QD51",K15="QD51q"),"TypQD51D.",IF(AND($H15='.'!$AO$22,$K15="02"),"TypG02D.",VLOOKUP($H15,'.'!$AO$7:$AY$28,4,FALSE)))))</f>
        <v>Dleer.</v>
      </c>
      <c r="BT15" s="223" t="str">
        <f>IF($H15="","ITleer.",VLOOKUP($H15,'.'!$AO$7:$AY$28,5,FALSE))</f>
        <v>ITleer.</v>
      </c>
      <c r="BU15" s="223" t="str">
        <f>IF($AD15="(PUR)","TypPURIS.",IF($H15="","ISleer.",VLOOKUP($H15,'.'!$AO$7:$AY$28,6,FALSE)))</f>
        <v>ISleer.</v>
      </c>
      <c r="BV15" s="223" t="str">
        <f>IF($H15="","Fleer.",VLOOKUP($H15,'.'!$AO$7:$AY$28,7,FALSE))</f>
        <v>Fleer.</v>
      </c>
      <c r="BW15" s="223" t="str">
        <f>IF($H15="","leer",IF(AH15&lt;T15*100+220,"leer",VLOOKUP($H15,'.'!$AO$7:$AY$28,8,FALSE)))</f>
        <v>leer</v>
      </c>
      <c r="BX15" s="223" t="str">
        <f>IF($H15="","leer",VLOOKUP($H15,'.'!$AO$7:$AY$28,9,FALSE))</f>
        <v>leer</v>
      </c>
      <c r="BY15" s="223" t="str">
        <f>IF($H15="","leer",VLOOKUP($H15,'.'!$AO$7:$AY$28,10,FALSE))</f>
        <v>leer</v>
      </c>
      <c r="BZ15" s="224" t="e">
        <f>INDEX('.'!$AP$43:$BA$53,MATCH(H15,'.'!$AO$43:$AO$53,0),MATCH(K15,'.'!$AP$42:$BA$42,0))</f>
        <v>#N/A</v>
      </c>
      <c r="CA15" s="223" t="str">
        <f>IF($H15="","leer",VLOOKUP($H15,'.'!$AO$7:$AY$28,11,FALSE))</f>
        <v>leer</v>
      </c>
      <c r="CB15" s="223" t="e">
        <f>INDEX('.'!$AP$56:$BA$66,MATCH(H15,'.'!$AO$56:$AO$66,0),MATCH(K15,'.'!$AP$55:$BA$55,0))</f>
        <v>#N/A</v>
      </c>
      <c r="CC15" s="223" t="str">
        <f>IF(OR($H15="",$H15="KP-TypB",$H15="KP-TypC",$H15="KP-TypD",$H15="KP-TypH",$H15="KP-TypJ",$H15="KP-TypK"),"leer",IF(OR($H15="KP-1",$H15="KPE-1",$H15="KP-3",$H15="KPE-3",$H15="KP-11",$H15="KP-12",$H15="KP-TypG"),VLOOKUP(O15,'.'!$BA$7:$BB$15,2,FALSE),IF(OR($H15="KP-2",$H15="KP-7"),VLOOKUP(O15,'.'!$BD$7:$BE$15,2,FALSE),"n0.")))</f>
        <v>leer</v>
      </c>
      <c r="CD15" s="98" t="e">
        <f>INDEX('.'!$AP$69:$BA$79,MATCH(H15,'.'!$AO$69:$AO$79,0),MATCH(K15,'.'!$AP$68:$BA$68,0))</f>
        <v>#N/A</v>
      </c>
      <c r="CF15" s="108" t="e">
        <f>VLOOKUP($H15,TW!$L$54:$M$72,TW!$M$54,FALSE)</f>
        <v>#N/A</v>
      </c>
      <c r="CG15" s="108">
        <f>IF($H15="KP-10",$T15,$O15)</f>
        <v>0</v>
      </c>
      <c r="CH15" s="107">
        <f>$R15</f>
        <v>0</v>
      </c>
      <c r="CI15" s="118">
        <f t="shared" ref="CI15:CI29" si="1">$V15</f>
        <v>0</v>
      </c>
      <c r="CJ15" s="108">
        <f>$AF15</f>
        <v>0</v>
      </c>
      <c r="CK15" s="108" t="str">
        <f>CONCATENATE("ø",$CH15,"-",$CJ15)</f>
        <v>ø0-0</v>
      </c>
      <c r="CL15" s="122" t="b">
        <f>IF($H15="KP-1",INDEX(TW!$B$54:$J$63,MATCH($CI15,TW!$B$54:$B$63,0),MATCH($CK15,TW!$B$54:$J$54,0)),IF($H15="KPE-1",INDEX(TW!$B$66:$J$74,MATCH($CI15,TW!$B$66:$B$74,0),MATCH($CK15,TW!$B$66:$J$66,0)),IF($H15="KP-3",INDEX(TW!$B$77:$J$86,MATCH($CI15,TW!$B$77:$B$86,0),MATCH($CK15,TW!$B$77:$J$77,0)),IF($H15="KPE-3",INDEX(TW!$B$89:$J$97,MATCH($CI15,TW!$B$89:$B$97,0),MATCH($CK15,TW!$B$89:$J$89,0)),IF(OR($H15="KP-2",$H15="KP-7"),INDEX(TW!$B$100:$V$109,MATCH($CI15,TW!$B$100:$B$109,0),MATCH($CK15,TW!$B$100:$V$100,0)),IF($H15="KP-10",INDEX(TW!$B$121:$F$130,MATCH($CI15,TW!$B$121:$B$130,0),MATCH($CJ15,TW!$B$121:$F$121,0)),IF($H15="KP-11",INDEX(TW!$B$133:$J$141,MATCH($CI15,TW!$B$133:$B$141,0),MATCH($CK15,TW!$B$133:$J$133,0)),IF($H15="KP-12",INDEX(TW!$B$144:$J$152,MATCH($CI15,TW!$B$144:$B$152,0),MATCH($CK15,TW!$B$144:$J$144,0))))))))))</f>
        <v>0</v>
      </c>
      <c r="CM15" s="108" t="e">
        <f>VLOOKUP($CH15,TW!$B$112:$C$118,TW!$C$113,FALSE)</f>
        <v>#N/A</v>
      </c>
      <c r="CN15" s="207">
        <f>IF($AK15="",0,MIN($AM15,$AK15)+$CY15)</f>
        <v>0</v>
      </c>
      <c r="CO15" s="121">
        <f>IF(AND(H15="KP-7",CN15&gt;0),1/CM15*CN15,IF(AND(H15="KP-7",CN15=0),"",1))</f>
        <v>1</v>
      </c>
      <c r="CP15" s="121" t="e">
        <f>$CL15*(VLOOKUP($CH15,TW!$B$112:$D$118,TW!$D$113,FALSE)/INDEX(TW!$F$112:$J$117,MATCH($CH15,TW!$F$112:$F$117,0),MATCH($CJ15,TW!$F$112:$J$112,0)))</f>
        <v>#N/A</v>
      </c>
      <c r="CQ15" s="121" t="b">
        <f>$CL15</f>
        <v>0</v>
      </c>
      <c r="CR15" s="121" t="str">
        <f>IF(AND(ISNUMBER(CP15),ISNUMBER(CQ15)),MIN(CP15*CO15,CQ15),"leer")</f>
        <v>leer</v>
      </c>
      <c r="CS15" s="121">
        <f>IF(H15="KP-12",INDEX(TW!$H$42:$L$50,MATCH($CY15,TW!$B$42:$B$50,0),MATCH($CZ15,TW!$B$42:$F$42,0)),0)</f>
        <v>0</v>
      </c>
      <c r="CT15" s="121">
        <f>$CY15-$CH15</f>
        <v>-60</v>
      </c>
      <c r="CU15" s="121">
        <f>IF($H15="KP-12",$CS15*($CT15/1000)*$CX15,0)</f>
        <v>0</v>
      </c>
      <c r="CV15" s="121" t="str">
        <f>IF(H15="KP-TypJ",INDEX(TW!$K$168:$L$176,MATCH(V15,TW!$H$156:$H$164,0),MATCH(AF15-0,TW!$K$167:$L$167,0)),IF($H15="KP-7",$CG15*$CR15,IF(OR($H15="KP-9",$H15="KPE-9"),999,IF(ISNUMBER($CL15),$CL15*$CG15-$CU15,"-"))))</f>
        <v>-</v>
      </c>
      <c r="CW15" s="99" t="e">
        <f>VLOOKUP($H15,TW!$H$13:$I$30,TW!$I$13,FALSE)</f>
        <v>#N/A</v>
      </c>
      <c r="CX15" s="100" t="str">
        <f>IF(ISNUMBER($T15),$T15,"leer")</f>
        <v>leer</v>
      </c>
      <c r="CY15" s="100">
        <f>IF(OR($H15="KP-8",$H15="KP-10"),CONCATENATE($AO15,"-",$AQ15),IF(OR($H15="KPE-1",$H15="KPE-3",$H15="KPE-9"),$V15-80,$V15-60))</f>
        <v>-60</v>
      </c>
      <c r="CZ15" s="102">
        <f t="shared" ref="CZ15:CZ29" si="2">$AF15</f>
        <v>0</v>
      </c>
      <c r="DA15" s="113" t="e">
        <f>IF($H15="KP-6",INDEX(TW!$B$25:$F$27,MATCH($CY15,TW!$B$25:$B$27,0),MATCH($CZ15,TW!$B$25:$F$25,0)),IF(OR($H15="KP-8",$H15="KP-10"),INDEX(TW!$B$30:$F$39,MATCH($CY15,TW!$B$30:$B$39,0),MATCH($CZ15,TW!$B$30:$F$30,0)),IF(OR($H15="KP-11",$H15="KP-12"),INDEX(TW!$B$42:$F$50,MATCH($CY15,TW!$B$42:$B$50,0),MATCH($CZ15,TW!$B$42:$F$42,0)),INDEX(TW!$B$13:$F$22,MATCH($CY15,TW!$B$13:$B$22,0),MATCH($CZ15,TW!$B$13:$F$13,0)))))</f>
        <v>#N/A</v>
      </c>
      <c r="DB15" s="113" t="str">
        <f>IF(AND(NOT(CZ15=0),OR(K15="QD43",K15="QD43q",K15="QD51",K15="QD51q")),INDEX(TW!$C$156:$F$164,MATCH(V15,TW!$B$156:$B$164,0),MATCH(K15,TW!$C$155:$F$155,0)),IF(AND(ISNUMBER($CX15),ISNUMBER($DA15)),$CX15*$DA15,"-"))</f>
        <v>-</v>
      </c>
      <c r="DC15" s="236" t="str">
        <f t="shared" ref="DC15" si="3">IF(OR($H15="KP-2",$H15="KP-7"),$O15*2,IF($H15="KP-5",MAX((T15-1)*2,2),IF($H15="KP-TypG",2,"leer")))</f>
        <v>leer</v>
      </c>
      <c r="DD15" s="236" t="str">
        <f t="shared" ref="DD15:DD29" si="4">IF(OR($H15="KP-2",$H15="KP-7"),$R15,IF(OR($H15="KP-5",$H15="KP-TypG"),"(8)","leer"))</f>
        <v>leer</v>
      </c>
      <c r="DE15" s="80" t="e">
        <f>VLOOKUP($DD15,TW!$B$4:$H$9,TW!$H$4,FALSE)</f>
        <v>#N/A</v>
      </c>
      <c r="DF15" s="206">
        <f>IF($AK15="",0,MIN(AM15,$AK15)+$CY15)</f>
        <v>0</v>
      </c>
      <c r="DG15" s="81">
        <f t="shared" ref="DG15" si="5">IF(AND(H15="KP-7",DF15&gt;0),1/DE15*DF15,IF(AND(H15="KP-7",DF15=0),"",1))</f>
        <v>1</v>
      </c>
      <c r="DH15" s="81" t="e">
        <f>VLOOKUP($DD15,TW!$B$4:$H$9,TW!$G$4,FALSE)</f>
        <v>#N/A</v>
      </c>
      <c r="DI15" s="80" t="str">
        <f>IF($AF15="","leer",IF($AF15=60,VLOOKUP($DD15,TW!$B$4:$H$9,TW!$C$4,FALSE),IF($AF15=80,VLOOKUP($DD15,TW!$B$4:$H$9,TW!$D$4,FALSE),IF($AF15=100,VLOOKUP($DD15,TW!$B$4:$H$9,TW!$E$4,FALSE),IF($AF15=120,VLOOKUP($DD15,TW!$B$4:$H$9,TW!$F$4,FALSE),"")))))</f>
        <v>leer</v>
      </c>
      <c r="DJ15" s="81" t="str">
        <f>IF(AND(ISNUMBER(DH15),ISNUMBER(DI15)),MIN(DH15*DG15,DI15),"leer")</f>
        <v>leer</v>
      </c>
      <c r="DK15" s="81" t="e">
        <f>IF(H15="KP-TypH",INDEX(TW!$C$168:$D$176,MATCH(V15,TW!$B$168:$B$176,0),MATCH(CJ15-0,TW!$C$167:$D$167,0)),IF(H15="KP-TypJ",INDEX(TW!$G$168:$H$176,MATCH(V15,TW!$F$168:$F$176,0),MATCH(CJ15-0,TW!$G$167:$H$167,0)),$DJ15*$DC15))</f>
        <v>#VALUE!</v>
      </c>
      <c r="DL15" s="76" t="str">
        <f>IF(AND(NOT(CZ15=0),OR(K15="QD43",K15="QD43q",K15="QD51",K15="QD51q")),INDEX(TW!$I$156:$L$164,MATCH(V15,TW!$H$156:$H$164,0),MATCH(K15,TW!$I$155:$L$155,0)),IF(OR(AND($H15="KP-TypG",$K15="02")),100,IF(OR($AU15="x",AND($H15="KP-TypG",$K15="01")),50,"-")))</f>
        <v>-</v>
      </c>
      <c r="DN15" s="164">
        <f>IF(ISBLANK($V15),0,$V15+$Z15+$AB15)</f>
        <v>0</v>
      </c>
      <c r="DO15" s="165">
        <f>IF(ISBLANK($AD15),0,INDEX(BP!$B$3:$C$8,MATCH($AD15,BP!$B$3:$B$8,0),2))</f>
        <v>0</v>
      </c>
      <c r="DP15" s="166">
        <f>IF($H15="KP-TypG",$DN15*300,IF(OR($H15="KP-TypH",$H15="KP-TypJ"),$DN15*350,$DN15*$AH15))</f>
        <v>0</v>
      </c>
      <c r="DQ15" s="160">
        <f>IF($DP15=0,0,$DP15-$DT15-$EE15-$EJ15-$EP15-$EY15)</f>
        <v>0</v>
      </c>
      <c r="DR15" s="160">
        <f>$DQ15*$DO15</f>
        <v>0</v>
      </c>
      <c r="DS15" s="167">
        <f>INDEX(BP!$B$3:$C$8,6,2)</f>
        <v>0.17499999999999999</v>
      </c>
      <c r="DT15" s="161">
        <f>IF(OR($AS15="",$AS15="REI120"),0,IF($H15="KP-TypG",300*24,IF(OR($H15="KP-TypH",$H15="KP-TypJ"),350*24,$AH15*24)))</f>
        <v>0</v>
      </c>
      <c r="DU15" s="160">
        <f>$DT15*$DS15</f>
        <v>0</v>
      </c>
      <c r="DV15" s="166">
        <f>IF($H15="KP-6",$T15*2,IF(OR($H15="KP-TypH",$H15="KP-TypJ"),1,$T15))</f>
        <v>0</v>
      </c>
      <c r="DW15" s="166" t="e">
        <f>INDEX(BP!$B$12:$F$29,MATCH($H15,BP!$B$12:$B$29,0),3)</f>
        <v>#N/A</v>
      </c>
      <c r="DX15" s="166" t="e">
        <f>INDEX(BP!$B$12:$F$29,MATCH($H15,BP!$B$12:$B$29,0),4)</f>
        <v>#N/A</v>
      </c>
      <c r="DY15" s="167" t="e">
        <f>IF(OR($H15="KP-8",$H15="KP-10"),$AO15,$V15-$DX15)</f>
        <v>#N/A</v>
      </c>
      <c r="DZ15" s="167" t="e">
        <f>IF($H15="KP-8",5,IF($H15="KP-10",6,IF($DY15&lt;160,4,5)))</f>
        <v>#N/A</v>
      </c>
      <c r="EA15" s="167" t="e">
        <f>$DY15*$DZ15</f>
        <v>#N/A</v>
      </c>
      <c r="EB15" s="167" t="str">
        <f>IF(OR($H15="KP-11",$H15="KP-12"),8,IF(AND($H15="KP-6",$V15="180"),8,IF(AND($H15="KP-6",$V15="220"),10,"-")))</f>
        <v>-</v>
      </c>
      <c r="EC15" s="167" t="e">
        <f>PI()*($EB15/2)^2</f>
        <v>#VALUE!</v>
      </c>
      <c r="ED15" s="167">
        <f>IF(OR(K15="QD43",K15="QD43q"),BP!$C$92,IF(OR(K15="QD51",K15="QD51q"),BP!$C$94,15))</f>
        <v>15</v>
      </c>
      <c r="EE15" s="160">
        <f>IF(OR(K15="QD43",K15="QD43q"),BP!$D$92,IF(OR(K15="QD51",K15="QD51q"),BP!$D$94,IF($DV15=0,0,IF($DW15="SP",$EA15*$DV15,$DV15*$EC15))))</f>
        <v>0</v>
      </c>
      <c r="EF15" s="160">
        <f>IF(OR($H15="KP-TypH",$H15="KP-TypJ"),ED15*EE15,IF($DV15=0,0,IF($DW15="SP",$DV15*$EA15*$ED15,$DV15*$EC15*$ED15)))</f>
        <v>0</v>
      </c>
      <c r="EG15" s="167">
        <f>IF(OR(AND($H15="KP-TypG",$K15="02")),2,IF(OR($AU15="x",AND($H15="KP-TypG",$K15="01")),1,0))</f>
        <v>0</v>
      </c>
      <c r="EH15" s="166">
        <f>IF($H15="KP-TypG",5*240,5*220)</f>
        <v>1100</v>
      </c>
      <c r="EI15" s="167">
        <v>15</v>
      </c>
      <c r="EJ15" s="161">
        <f>$EH15*$EG15</f>
        <v>0</v>
      </c>
      <c r="EK15" s="161">
        <f>$EG15*$EH15*$EI15</f>
        <v>0</v>
      </c>
      <c r="EL15" s="167" t="b">
        <f>IF(OR($H15="KP-1",$H15="KPE-1",$H15="KP-2",$H15="KP-3",$H15="KPE-3",$H15="KP-7",$H15="KP-11",$H15="KP-12"),$O15,IF(OR($H15="KP-6",$H15="KP-8",$H15="KP-9",$H15="KPE-9"),0,IF($H15="KP-10",$T15*2,IF($H15="KP-5",MAX($T15-1,1),IF($H15="KP-TypG",1,IF($H15="KP-TypH",1,IF($H15="KP-TypJ",3)))))))</f>
        <v>0</v>
      </c>
      <c r="EM15" s="168" t="b">
        <f>IF(OR($H15="KP-1",$H15="KPE-1",$H15="KP-2",$H15="KP-3",$H15="KPE-3",$H15="KP-7",$H15="KP-11",$H15="KP-12"),$R15,IF(OR($H15="KP-6",$H15="KP-8",$H15="KP-9",$H15="KPE-9"),"-",IF($H15="KP-10",12,IF(OR(H15="KP-5",$H15="KP-TypG"),8,IF(H15="KP-TypH",12,IF(H15="KP-TypJ",14))))))</f>
        <v>0</v>
      </c>
      <c r="EN15" s="167">
        <f>PI()*($EM15/2)^2</f>
        <v>0</v>
      </c>
      <c r="EO15" s="167" t="e">
        <f>INDEX(BP!$B$12:$F$29,MATCH($H15,BP!$B$12:$B$29,0),5)</f>
        <v>#N/A</v>
      </c>
      <c r="EP15" s="161">
        <f>IF($EL15=0,0,$EN15*$EL15)</f>
        <v>0</v>
      </c>
      <c r="EQ15" s="161" t="e">
        <f>IF($EL15=0,0,$EL15*$EN15*$EO15)</f>
        <v>#N/A</v>
      </c>
      <c r="ER15" s="167" t="e">
        <f>INDEX(BP!$B$12:$F$29,MATCH($H15,BP!$B$12:$B$29,0),2)</f>
        <v>#N/A</v>
      </c>
      <c r="ES15" s="167" t="str">
        <f>IF(OR($H15="KP-1",$H15="KPE-1",$H15="KP-11"),INDEX(BP!$B$32:$F$41,MATCH($V15,BP!$B$32:$B$41,0),MATCH($AF15,BP!$B$32:$F$32,0)),IF(OR($H15="KP-3",$H15="KPE-3"),INDEX(BP!$B$44:$F$53,MATCH($V15,BP!$B$44:$B$53,0),MATCH($AF15,BP!$B$44:$F$44,0)),"DS"))</f>
        <v>DS</v>
      </c>
      <c r="ET15" s="167" t="b">
        <f>$EL15</f>
        <v>0</v>
      </c>
      <c r="EU15" s="167" t="e">
        <f>INDEX(BP!$B$64:$D$66,MATCH($EM15,BP!$B$64:$B$66,0),2)</f>
        <v>#N/A</v>
      </c>
      <c r="EV15" s="167" t="e">
        <f>IF($H15="KP-11",INDEX(BP!$B$64:$D$74,MATCH($K15,BP!$B$64:$B$74,0),3),$ET15*$EU15)</f>
        <v>#N/A</v>
      </c>
      <c r="EW15" s="167" t="e">
        <f>INDEX(BP!$B$57:$D$60,MATCH($ES15,BP!$B$57:$B$60,0),3)</f>
        <v>#N/A</v>
      </c>
      <c r="EX15" s="167" t="e">
        <f>INDEX(BP!$B$57:$D$60,MATCH($ES15,BP!$B$57:$B$60,0),2)</f>
        <v>#N/A</v>
      </c>
      <c r="EY15" s="160" t="e">
        <f>IF($ER15="DS",$EP15,$EV15*$EW15)</f>
        <v>#N/A</v>
      </c>
      <c r="EZ15" s="160" t="e">
        <f>IF($ER15="DS",$EQ15,$EV15*$EW15*$EX15)</f>
        <v>#N/A</v>
      </c>
      <c r="FA15" s="156" t="b">
        <f>IF(OR($H15="KP-1",$H15="KPE-1",$H15="KP-2",$H15="KP-3",$H15="KPE-3",$H15="KP-5",$H15="KP-7",$H15="KP-10",$H15="KP-11",$H15="KP-12",$H15="KP-TypH",$H15="KP-TypJ"),IF(AND($DR15&gt;0,$EF15&gt;0,$EQ15&gt;0,$EZ15),$DR15+$DU15+$EF15+$EK15+$EQ15+$EZ15),IF(OR($H15="KP-6",$H15="KP-8",$H15="KP-9",$H15="KPE-9"),IF(AND($DR15&gt;0,$EF15&gt;0),$DR15+$DU15+$EF15+$EK15),IF($H15="KP-TypG",IF(AND($DR15&gt;0,$EK15&gt;0,$EQ15&gt;0,$EZ15&gt;0),$DR15+$DU15+$EK15+$EQ15+$EZ15))))</f>
        <v>0</v>
      </c>
      <c r="FB15" s="156">
        <f>$DP15</f>
        <v>0</v>
      </c>
      <c r="FC15" s="157">
        <f>IF($FB15=0,0,$FA15/$FB15)</f>
        <v>0</v>
      </c>
      <c r="FE15" s="191">
        <f>$V15</f>
        <v>0</v>
      </c>
      <c r="FF15" s="191">
        <f>$AF15</f>
        <v>0</v>
      </c>
      <c r="FG15" s="180" t="str">
        <f>IF(OR($H15="KP-1",$H15="KPE-1",$H15="KP-2",$H15="KP-3",$H15="KPE-3",$H15="KP-7",$H15="KP-11",$H15="KP-12"),$O15,IF($H15="KP-10",$T15*2,"-"))</f>
        <v>-</v>
      </c>
      <c r="FH15" s="180" t="str">
        <f>IF(OR($H15="KP-1",$H15="KPE-1",$H15="KP-2",$H15="KP-3",$H15="KPE-3",$H15="KP-7",$H15="KP-11",$H15="KP-12"),$R15,IF($H15="KP-10",12,"-"))</f>
        <v>-</v>
      </c>
      <c r="FI15" s="180" t="b">
        <f t="shared" ref="FI15" si="6">IF(FH15="(8)",8,IF(FH15="10",10,IF(FH15="(12)",12,IF(FH15=12,12,IF(FH15="(14)",14,IF(FH15="14",14))))))</f>
        <v>0</v>
      </c>
      <c r="FJ15" s="180" t="str">
        <f>$ES15</f>
        <v>DS</v>
      </c>
      <c r="FK15" s="180" t="b">
        <f>IF(OR($H15="KP-1",$H15="KPE-1",$H15="KP-3",$H15="KPE-3",$H15="KP-11"),$EV15,$EL15)</f>
        <v>0</v>
      </c>
      <c r="FL15" s="180" t="str">
        <f>IF(H15="KP-10",$AO15-$FI15,IF(OR($H15="KP-2",$H15="KP-7",$H15="KP-12"),$FE15-30-30-$FI15,IF(OR($H15="KP-1",$H15="KP-3",$H15="KP-11"),$FE15-30-36-$FI15/2,IF(OR($H15="KPE-1",$H15="KPE-3"),$FE15-45-$FI15/2-36,"-"))))</f>
        <v>-</v>
      </c>
      <c r="FM15" s="181" t="e">
        <f>PI()*($FI15/2)^2*$FG15</f>
        <v>#VALUE!</v>
      </c>
      <c r="FN15" s="180">
        <f>IF(OR($H15="KP-3",$H15="KPE-3"),205000,170000)</f>
        <v>170000</v>
      </c>
      <c r="FO15" s="180" t="b">
        <f>IF($FJ15="DS",$FI15,IF($FJ15=1.4404,15,IF($FJ15=1.4362,16,"-")))</f>
        <v>0</v>
      </c>
      <c r="FP15" s="180" t="str">
        <f>IF($FJ15="DS","-",IF($FJ15=1.4404,45,IF($FJ15=1.4362,55,40)))</f>
        <v>-</v>
      </c>
      <c r="FQ15" s="180" t="str">
        <f>IF($FJ15="DS","-",IF($FJ15=1.4404,50,IF($FJ15=1.4362,60,58)))</f>
        <v>-</v>
      </c>
      <c r="FR15" s="180">
        <f>IF($FJ15="UHFB",26*43*$FK15,IF(OR($FJ15=1.4362,$FJ15=1.4404),PI()*($FO15/2)^2*$FK15,PI()*($FI15/2)^2*$FK15))</f>
        <v>0</v>
      </c>
      <c r="FS15" s="180">
        <f>IF($FJ15="DS",PI()*($FI15/2)^2*$FK15,$FP15*$FQ15*$FK15)</f>
        <v>0</v>
      </c>
      <c r="FT15" s="180">
        <f>IF($FJ15="UHFB",100,IF($FJ15=1.4404,460/1.15,IF($FJ15=1.4362,650/1.15,IF(OR($H15="KP-3",$H15="KPE-3"),500/1.15,650/1.15))))</f>
        <v>565.21739130434787</v>
      </c>
      <c r="FU15" s="192" t="e">
        <f>IF($FJ15="DS",INDEX(BP!$B$77:$F$87,MATCH($FI15,BP!$B$77:$B$87,0),MATCH($FF15,BP!$B$77:$F$77,0)),INDEX(BP!$B$77:$F$87,MATCH($FJ15,BP!$B$77:$B$87,0),MATCH($FF15,BP!$B$77:$F$77,0)))</f>
        <v>#N/A</v>
      </c>
      <c r="FV15" s="180" t="e">
        <f>$FT15*$FU15</f>
        <v>#N/A</v>
      </c>
      <c r="FW15" s="180">
        <f>IF($FJ15="UHFB",50000,IF($FJ15=1.4404,170000,IF($FJ15=1.4362,170000,IF(OR($H15="KP-3",$H15="KPE-3"),205000,170000))))</f>
        <v>170000</v>
      </c>
      <c r="FX15" s="180">
        <v>20</v>
      </c>
      <c r="FY15" s="180">
        <v>35000</v>
      </c>
      <c r="FZ15" s="180">
        <v>1</v>
      </c>
      <c r="GA15" s="180" t="e">
        <f>$FZ15/($FL15/1000)</f>
        <v>#VALUE!</v>
      </c>
      <c r="GB15" s="180" t="e">
        <f>$GA15*1000/$FM15</f>
        <v>#VALUE!</v>
      </c>
      <c r="GC15" s="180" t="e">
        <f>$GB15/$FN15</f>
        <v>#VALUE!</v>
      </c>
      <c r="GD15" s="191">
        <f>10*$FI15+$FF15</f>
        <v>0</v>
      </c>
      <c r="GE15" s="192" t="e">
        <f>$GA15*1000/$FR15</f>
        <v>#VALUE!</v>
      </c>
      <c r="GF15" s="192" t="e">
        <f>$GA15*1000/(($FR15+$FS15)/2)</f>
        <v>#VALUE!</v>
      </c>
      <c r="GG15" s="192" t="e">
        <f>$GA15*1000/$FS15</f>
        <v>#VALUE!</v>
      </c>
      <c r="GH15" s="193" t="e">
        <f>$GE15/$FW15</f>
        <v>#VALUE!</v>
      </c>
      <c r="GI15" s="193" t="e">
        <f>$GF15/$FW15</f>
        <v>#VALUE!</v>
      </c>
      <c r="GJ15" s="193" t="e">
        <f>$GG15/$FY15</f>
        <v>#VALUE!</v>
      </c>
      <c r="GK15" s="191">
        <f>$FF15</f>
        <v>0</v>
      </c>
      <c r="GL15" s="180">
        <f>IF($FJ15="DS",5*$FI15,IF($FJ15=1.4404,20,IF($FJ15=1.4362,24,0)))</f>
        <v>0</v>
      </c>
      <c r="GM15" s="180">
        <f>IF($FJ15="DS",5*$FI15,40)</f>
        <v>0</v>
      </c>
      <c r="GN15" s="191" t="e">
        <f>$GC15*$GD15</f>
        <v>#VALUE!</v>
      </c>
      <c r="GO15" s="193" t="e">
        <f>$GH15*$GK15+$GI15*$GL15+$GJ15*$GM15</f>
        <v>#VALUE!</v>
      </c>
      <c r="GP15" s="180" t="e">
        <f>($GN15+$GO15)/$FL15</f>
        <v>#VALUE!</v>
      </c>
      <c r="GQ15" s="194" t="e">
        <f>$FZ15/$GP15</f>
        <v>#VALUE!</v>
      </c>
      <c r="GR15" s="195" t="e">
        <f>$DY15</f>
        <v>#N/A</v>
      </c>
      <c r="GS15" s="180" t="e">
        <f>$DZ15</f>
        <v>#N/A</v>
      </c>
      <c r="GT15" s="180" t="e">
        <f>$GY15/$GS15</f>
        <v>#N/A</v>
      </c>
      <c r="GU15" s="180" t="e">
        <f>$GR15-$GT15-$GT15</f>
        <v>#N/A</v>
      </c>
      <c r="GV15" s="196">
        <f>$DV15</f>
        <v>0</v>
      </c>
      <c r="GW15" s="180">
        <v>170000</v>
      </c>
      <c r="GX15" s="180">
        <v>8</v>
      </c>
      <c r="GY15" s="180">
        <f>PI()*($GX15/2)^2</f>
        <v>50.26548245743669</v>
      </c>
      <c r="GZ15" s="180" t="e">
        <f>$GS15*$GT15</f>
        <v>#N/A</v>
      </c>
      <c r="HA15" s="180">
        <v>1</v>
      </c>
      <c r="HB15" s="180" t="e">
        <f>$HA15/($GU15/1000)</f>
        <v>#N/A</v>
      </c>
      <c r="HC15" s="180" t="e">
        <f>$HB15*1000/$GY15</f>
        <v>#N/A</v>
      </c>
      <c r="HD15" s="180" t="e">
        <f>$HB15/(($GR15*$GS15)/3/1000)</f>
        <v>#N/A</v>
      </c>
      <c r="HE15" s="180">
        <f>IF($FF15&lt;100,80+40,120+40)</f>
        <v>120</v>
      </c>
      <c r="HF15" s="180">
        <f>IF($FF15&lt;100,80+40,120+40)</f>
        <v>120</v>
      </c>
      <c r="HG15" s="180">
        <v>100</v>
      </c>
      <c r="HH15" s="180" t="e">
        <f>$HC15/$GW15</f>
        <v>#N/A</v>
      </c>
      <c r="HI15" s="180" t="e">
        <f>$HD15/$FY15</f>
        <v>#N/A</v>
      </c>
      <c r="HJ15" s="180" t="e">
        <f>$HH15*$HF15</f>
        <v>#N/A</v>
      </c>
      <c r="HK15" s="180" t="e">
        <f>2*$HI15/3*($HG15+$HE15)</f>
        <v>#N/A</v>
      </c>
      <c r="HL15" s="180" t="e">
        <f>($HJ15+$HK15)/($GR15-($GT15/2))</f>
        <v>#N/A</v>
      </c>
      <c r="HM15" s="180" t="e">
        <f>$HA15/$HL15*$GV15</f>
        <v>#N/A</v>
      </c>
      <c r="HN15" s="181" t="e">
        <f>IF(H15="KP-TypJ",INDEX(TW!$O$168:$P$176,MATCH(V15,TW!$N$168:$N$176,0),MATCH(CJ15-0,TW!$O$167:$P$167,0)),IF(OR($H15="KP-11",$H15="KP-12"),$GQ15,$HM15+$GQ15))</f>
        <v>#N/A</v>
      </c>
    </row>
    <row r="16" spans="1:222" x14ac:dyDescent="0.25">
      <c r="A16" s="349"/>
      <c r="B16" s="350"/>
      <c r="C16" s="417"/>
      <c r="D16" s="350"/>
      <c r="E16" s="349"/>
      <c r="F16" s="350"/>
      <c r="G16" s="17"/>
      <c r="H16" s="420"/>
      <c r="I16" s="421"/>
      <c r="J16" s="421"/>
      <c r="K16" s="418"/>
      <c r="L16" s="418"/>
      <c r="M16" s="419"/>
      <c r="N16" s="10"/>
      <c r="O16" s="289"/>
      <c r="P16" s="290"/>
      <c r="Q16" s="13" t="s">
        <v>7</v>
      </c>
      <c r="R16" s="412"/>
      <c r="S16" s="413"/>
      <c r="T16" s="414"/>
      <c r="U16" s="415"/>
      <c r="V16" s="289"/>
      <c r="W16" s="290"/>
      <c r="X16" s="393" t="str">
        <f t="shared" ref="X16:X29" si="7">IF(OR(Z16&lt;&gt;0,AB16&lt;&gt;0),CONCATENATE("/",V16+Z16+AB16),"")</f>
        <v/>
      </c>
      <c r="Y16" s="394"/>
      <c r="Z16" s="369"/>
      <c r="AA16" s="370"/>
      <c r="AB16" s="397"/>
      <c r="AC16" s="398"/>
      <c r="AD16" s="383"/>
      <c r="AE16" s="384"/>
      <c r="AF16" s="395"/>
      <c r="AG16" s="396"/>
      <c r="AH16" s="230"/>
      <c r="AI16" s="69" t="str">
        <f t="shared" ref="AI16:AI29" si="8">IF(OR(H16="KP-TypH",H16="KP-TypJ"),350,IF(OR(ISBLANK(H16),H16="KP-TypB",H16="KP-TypC",H16="KP-TypD",H16="KP-TypK"),"",MAX(200,IF(OR(K16="00",ISBLANK(K16)),IF(OR(H16="KP-1",H16="KPE-1",H16="KP-3",H16="KPE-3",H16="KP-11"),MAX((ABS(T16)+1)*100,ROUNDUP(100*MAX(1,ABS(R16)^2/14^2)*O16*2,-1)/2),IF(OR(H16="KP-5",H16="KP-8",H16="KP-10"),(ABS(T16)+1)*100,IF(H16="KP-6",ABS(T16)*100,IF(H16="KP-TypG",300,MAX((ABS(T16)+1)*100,ROUNDUP(100*O16,0)))))),IF(OR(H16="KP-1",H16="KPE-1",H16="KP-3",H16="KPE-3",H16="KP-11"),MAX((ABS(CD16)+1)*100,ROUNDUP(100*MAX(1,ABS(CB16)^2/14^2)*BZ16*2,-1)/2),IF(OR(H16="KP-5",H16="KP-8",H16="KP-10"),(ABS(CD16)+1)*100,IF(H16="KP-6",ABS(CD16)*100,IF(H16="KP-TypG",300,MAX((ABS(CD16)+1)*100,ROUNDUP(100*BZ16,0))))))))))</f>
        <v/>
      </c>
      <c r="AJ16" s="18"/>
      <c r="AK16" s="349"/>
      <c r="AL16" s="350"/>
      <c r="AM16" s="349"/>
      <c r="AN16" s="350"/>
      <c r="AO16" s="318" t="str">
        <f>IF(AND(OR(H16="KP-8",H16="KP-10"),V16&gt;0),VLOOKUP(V16,'.'!$AO$32:$AQ$40,2,FALSE),"")</f>
        <v/>
      </c>
      <c r="AP16" s="319"/>
      <c r="AQ16" s="316" t="str">
        <f>IF(AND(OR(H16="KP-8",H16="KP-10"),V16&gt;0),VLOOKUP(V16,'.'!$AO$32:$AQ$40,3,FALSE),"")</f>
        <v/>
      </c>
      <c r="AR16" s="317"/>
      <c r="AS16" s="339" t="str">
        <f t="shared" ref="AS16:AS29" si="9">IF(AND($H16="",$AD16="SW"),"EI120",IF(AND($H16="",OR($AD16="XPS",$AD16="FG",$AD16="(PUR)")),"EI60",IF(AND(ISBLANK($H16)=FALSE,$AD16="SW"),"REI120",IF(AND(ISBLANK($H16)=FALSE,OR($AD16="XPS",$AD16="FG",$AD16="(PUR)")),"REI60",""))))</f>
        <v/>
      </c>
      <c r="AT16" s="340"/>
      <c r="AU16" s="314"/>
      <c r="AV16" s="315"/>
      <c r="AW16" s="314"/>
      <c r="AX16" s="315"/>
      <c r="AY16" s="12"/>
      <c r="AZ16" s="291"/>
      <c r="BA16" s="292"/>
      <c r="BB16" s="292"/>
      <c r="BC16" s="293"/>
      <c r="BD16" s="5"/>
      <c r="BE16" s="5"/>
      <c r="BF16" s="128" t="str">
        <f t="shared" ref="BF16:BF29" si="10">IF($AZ16="",IF(ISNUMBER($CV16),IF(OR($H16="KP-9",$H16="KPE-9"),"sur site",IF(OR($H16="KP-1",$H16="KPE-1",$H16="KP-2",$H16="KP-3",$H16="KPE-3",$H16="KP-7",$H16="KP-10",$H16="KP-11",$H16="KP-12",$H16="KP-TypJ"),CONCATENATE($CF16,ROUND($CV16,0)))),"-"),"x")</f>
        <v>-</v>
      </c>
      <c r="BG16" s="129" t="str">
        <f t="shared" ref="BG16:BG29" si="11">IF($AZ16="",IF(ISNUMBER($DB16),CONCATENATE($CW16,ROUND($DB16,0)),"-"),"x")</f>
        <v>-</v>
      </c>
      <c r="BH16" s="130" t="str">
        <f t="shared" ref="BH16:BH29" si="12">IF($AZ16="",IF(ISNUMBER($DK16),ROUND($DK16,0),"-"),"x")</f>
        <v>-</v>
      </c>
      <c r="BI16" s="130" t="str">
        <f t="shared" ref="BI16:BI29" si="13">IF($AZ16="",IF(ISNUMBER($DL16),ROUND($DL16,0),"-"),"x")</f>
        <v>-</v>
      </c>
      <c r="BJ16" s="136"/>
      <c r="BK16" s="177" t="str">
        <f t="shared" ref="BK16:BK29" si="14">IF($AZ16="",IF(OR($H16="KP-1",$H16="KPE-1",$H16="KP-2",$H16="KP-3",$H16="KPE-3",$H16="KP-7",$H16="KP-10",$H16="KP-11",$H16="KP-12",$H16="KP-TypJ"),IF(AND(ISNUMBER($HN16),ISNUMBER($AF16),NOT($V16="")),MROUND($HN16,50),"-"),"-"),"x")</f>
        <v>-</v>
      </c>
      <c r="BL16" s="136"/>
      <c r="BM16" s="143" t="str">
        <f t="shared" ref="BM16:BM29" si="15">IF($AZ16="",IF(AND(ISNUMBER($FC16),ISNUMBER($FA16),ISNUMBER($FA16),$FB16&gt;0),$FC16,"-"),"x")</f>
        <v>-</v>
      </c>
      <c r="BN16" s="143" t="str">
        <f t="shared" ref="BN16:BN29" si="16">IF(AND(ISNUMBER($AF16),ISNUMBER($BM16)),($AF16/1000)/$BM16,IF($BM16="x","x","-"))</f>
        <v>-</v>
      </c>
      <c r="BQ16" s="225" t="str">
        <f>IF($H16="","leer",VLOOKUP($H16,'.'!$AO$7:$AY$28,2,FALSE))</f>
        <v>leer</v>
      </c>
      <c r="BR16" s="225" t="str">
        <f>IF($H16="","leer",VLOOKUP($H16,'.'!$AO$7:$AY$28,3,FALSE))</f>
        <v>leer</v>
      </c>
      <c r="BS16" s="225" t="str">
        <f>IF($H16="","Dleer.",IF(OR(K16="QD43",K16="QD43q"),"TypQD43D.",IF(OR(K16="QD51",K16="QD51q"),"TypQD51D.",IF(AND($H16='.'!$AO$22,$K16="02"),"TypG02D.",VLOOKUP($H16,'.'!$AO$7:$AY$28,4,FALSE)))))</f>
        <v>Dleer.</v>
      </c>
      <c r="BT16" s="225" t="str">
        <f>IF($H16="","ITleer.",VLOOKUP($H16,'.'!$AO$7:$AY$28,5,FALSE))</f>
        <v>ITleer.</v>
      </c>
      <c r="BU16" s="225" t="str">
        <f>IF($AD16="(PUR)","TypPURIS.",IF($H16="","ISleer.",VLOOKUP($H16,'.'!$AO$7:$AY$28,6,FALSE)))</f>
        <v>ISleer.</v>
      </c>
      <c r="BV16" s="225" t="str">
        <f>IF($H16="","Fleer.",VLOOKUP($H16,'.'!$AO$7:$AY$28,7,FALSE))</f>
        <v>Fleer.</v>
      </c>
      <c r="BW16" s="225" t="str">
        <f>IF($H16="","leer",IF(AH16&lt;T16*100+220,"leer",VLOOKUP($H16,'.'!$AO$7:$AY$28,8,FALSE)))</f>
        <v>leer</v>
      </c>
      <c r="BX16" s="225" t="str">
        <f>IF($H16="","leer",VLOOKUP($H16,'.'!$AO$7:$AY$28,9,FALSE))</f>
        <v>leer</v>
      </c>
      <c r="BY16" s="225" t="str">
        <f>IF($H16="","leer",VLOOKUP($H16,'.'!$AO$7:$AY$28,10,FALSE))</f>
        <v>leer</v>
      </c>
      <c r="BZ16" s="226" t="e">
        <f>INDEX('.'!$AP$43:$BA$53,MATCH(H16,'.'!$AO$43:$AO$53,0),MATCH(K16,'.'!$AP$42:$BA$42,0))</f>
        <v>#N/A</v>
      </c>
      <c r="CA16" s="225" t="str">
        <f>IF($H16="","leer",VLOOKUP($H16,'.'!$AO$7:$AY$28,11,FALSE))</f>
        <v>leer</v>
      </c>
      <c r="CB16" s="225" t="e">
        <f>INDEX('.'!$AP$56:$BA$66,MATCH(H16,'.'!$AO$56:$AO$66,0),MATCH(K16,'.'!$AP$55:$BA$55,0))</f>
        <v>#N/A</v>
      </c>
      <c r="CC16" s="225" t="str">
        <f>IF(OR($H16="",$H16="KP-TypB",$H16="KP-TypC",$H16="KP-TypD",$H16="KP-TypH",$H16="KP-TypJ",$H16="KP-TypK"),"leer",IF(OR($H16="KP-1",$H16="KPE-1",$H16="KP-3",$H16="KPE-3",$H16="KP-11",$H16="KP-12",$H16="KP-TypG"),VLOOKUP(O16,'.'!$BA$7:$BB$15,2,FALSE),IF(OR($H16="KP-2",$H16="KP-7"),VLOOKUP(O16,'.'!$BD$7:$BE$15,2,FALSE),"n0.")))</f>
        <v>leer</v>
      </c>
      <c r="CD16" s="227" t="e">
        <f>INDEX('.'!$AP$69:$BA$79,MATCH(H16,'.'!$AO$69:$AO$79,0),MATCH(K16,'.'!$AP$68:$BA$68,0))</f>
        <v>#N/A</v>
      </c>
      <c r="CF16" s="117" t="e">
        <f>VLOOKUP($H16,TW!$L$54:$M$72,TW!$M$54,FALSE)</f>
        <v>#N/A</v>
      </c>
      <c r="CG16" s="117">
        <f t="shared" ref="CG16:CG29" si="17">IF($H16="KP-10",$T16,$O16)</f>
        <v>0</v>
      </c>
      <c r="CH16" s="118">
        <f t="shared" ref="CH16:CH29" si="18">$R16</f>
        <v>0</v>
      </c>
      <c r="CI16" s="118">
        <f t="shared" si="1"/>
        <v>0</v>
      </c>
      <c r="CJ16" s="117">
        <f t="shared" ref="CJ16:CJ29" si="19">$AF16</f>
        <v>0</v>
      </c>
      <c r="CK16" s="117" t="str">
        <f t="shared" ref="CK16:CK29" si="20">CONCATENATE("ø",$CH16,"-",$CJ16)</f>
        <v>ø0-0</v>
      </c>
      <c r="CL16" s="122" t="b">
        <f>IF($H16="KP-1",INDEX(TW!$B$54:$J$63,MATCH($CI16,TW!$B$54:$B$63,0),MATCH($CK16,TW!$B$54:$J$54,0)),IF($H16="KPE-1",INDEX(TW!$B$66:$J$74,MATCH($CI16,TW!$B$66:$B$74,0),MATCH($CK16,TW!$B$66:$J$66,0)),IF($H16="KP-3",INDEX(TW!$B$77:$J$86,MATCH($CI16,TW!$B$77:$B$86,0),MATCH($CK16,TW!$B$77:$J$77,0)),IF($H16="KPE-3",INDEX(TW!$B$89:$J$97,MATCH($CI16,TW!$B$89:$B$97,0),MATCH($CK16,TW!$B$89:$J$89,0)),IF(OR($H16="KP-2",$H16="KP-7"),INDEX(TW!$B$100:$V$109,MATCH($CI16,TW!$B$100:$B$109,0),MATCH($CK16,TW!$B$100:$V$100,0)),IF($H16="KP-10",INDEX(TW!$B$121:$F$130,MATCH($CI16,TW!$B$121:$B$130,0),MATCH($CJ16,TW!$B$121:$F$121,0)),IF($H16="KP-11",INDEX(TW!$B$133:$J$141,MATCH($CI16,TW!$B$133:$B$141,0),MATCH($CK16,TW!$B$133:$J$133,0)),IF($H16="KP-12",INDEX(TW!$B$144:$J$152,MATCH($CI16,TW!$B$144:$B$152,0),MATCH($CK16,TW!$B$144:$J$144,0))))))))))</f>
        <v>0</v>
      </c>
      <c r="CM16" s="117" t="e">
        <f>VLOOKUP($CH16,TW!$B$112:$C$118,TW!$C$113,FALSE)</f>
        <v>#N/A</v>
      </c>
      <c r="CN16" s="235">
        <f t="shared" ref="CN16:CN29" si="21">IF($AK16="",0,MIN($AM16,$AK16)+$CY16)</f>
        <v>0</v>
      </c>
      <c r="CO16" s="122">
        <f t="shared" ref="CO16:CO29" si="22">IF(AND(H16="KP-7",CN16&gt;0),1/CM16*CN16,IF(AND(H16="KP-7",CN16=0),"",1))</f>
        <v>1</v>
      </c>
      <c r="CP16" s="122" t="e">
        <f>$CL16*(VLOOKUP($CH16,TW!$B$112:$D$118,TW!$D$113,FALSE)/INDEX(TW!$F$112:$J$117,MATCH($CH16,TW!$F$112:$F$117,0),MATCH($CJ16,TW!$F$112:$J$112,0)))</f>
        <v>#N/A</v>
      </c>
      <c r="CQ16" s="122" t="b">
        <f t="shared" ref="CQ16:CQ29" si="23">$CL16</f>
        <v>0</v>
      </c>
      <c r="CR16" s="122" t="str">
        <f t="shared" ref="CR16:CR29" si="24">IF(AND(ISNUMBER(CP16),ISNUMBER(CQ16)),MIN(CP16*CO16,CQ16),"leer")</f>
        <v>leer</v>
      </c>
      <c r="CS16" s="122">
        <f>IF(H16="KP-12",INDEX(TW!$H$42:$L$50,MATCH($CY16,TW!$B$42:$B$50,0),MATCH($CZ16,TW!$B$42:$F$42,0)),0)</f>
        <v>0</v>
      </c>
      <c r="CT16" s="122">
        <f t="shared" ref="CT16:CT29" si="25">$CY16-$CH16</f>
        <v>-60</v>
      </c>
      <c r="CU16" s="122">
        <f t="shared" ref="CU16:CU29" si="26">IF($H16="KP-12",$CS16*($CT16/1000)*$CX16,0)</f>
        <v>0</v>
      </c>
      <c r="CV16" s="122" t="str">
        <f>IF(H16="KP-TypJ",INDEX(TW!$K$168:$L$176,MATCH(V16,TW!$H$156:$H$164,0),MATCH(AF16-0,TW!$K$167:$L$167,0)),IF($H16="KP-7",$CG16*$CR16,IF(OR($H16="KP-9",$H16="KPE-9"),999,IF(ISNUMBER($CL16),$CL16*$CG16-$CU16,"-"))))</f>
        <v>-</v>
      </c>
      <c r="CW16" s="101" t="e">
        <f>VLOOKUP($H16,TW!$H$13:$I$30,TW!$I$13,FALSE)</f>
        <v>#N/A</v>
      </c>
      <c r="CX16" s="102" t="str">
        <f t="shared" ref="CX16:CX29" si="27">IF(ISNUMBER($T16),$T16,"leer")</f>
        <v>leer</v>
      </c>
      <c r="CY16" s="102">
        <f t="shared" ref="CY16:CY29" si="28">IF(OR($H16="KP-8",$H16="KP-10"),CONCATENATE($AO16,"-",$AQ16),IF(OR($H16="KPE-1",$H16="KPE-3",$H16="KPE-9"),$V16-80,$V16-60))</f>
        <v>-60</v>
      </c>
      <c r="CZ16" s="102">
        <f t="shared" si="2"/>
        <v>0</v>
      </c>
      <c r="DA16" s="115" t="e">
        <f>IF($H16="KP-6",INDEX(TW!$B$25:$F$27,MATCH($CY16,TW!$B$25:$B$27,0),MATCH($CZ16,TW!$B$25:$F$25,0)),IF(OR($H16="KP-8",$H16="KP-10"),INDEX(TW!$B$30:$F$39,MATCH($CY16,TW!$B$30:$B$39,0),MATCH($CZ16,TW!$B$30:$F$30,0)),IF(OR($H16="KP-11",$H16="KP-12"),INDEX(TW!$B$42:$F$50,MATCH($CY16,TW!$B$42:$B$50,0),MATCH($CZ16,TW!$B$42:$F$42,0)),INDEX(TW!$B$13:$F$22,MATCH($CY16,TW!$B$13:$B$22,0),MATCH($CZ16,TW!$B$13:$F$13,0)))))</f>
        <v>#N/A</v>
      </c>
      <c r="DB16" s="115" t="str">
        <f>IF(AND(NOT(CZ16=0),OR(K16="QD43",K16="QD43q",K16="QD51",K16="QD51q")),INDEX(TW!$C$156:$F$164,MATCH(V16,TW!$B$156:$B$164,0),MATCH(K16,TW!$C$155:$F$155,0)),IF(AND(ISNUMBER($CX16),ISNUMBER($DA16)),$CX16*$DA16,"-"))</f>
        <v>-</v>
      </c>
      <c r="DC16" s="236" t="str">
        <f t="shared" ref="DC16:DC29" si="29">IF(OR($H16="KP-2",$H16="KP-7"),$O16*2,IF($H16="KP-5",MAX((T16-1)*2,2),IF($H16="KP-TypG",2,"leer")))</f>
        <v>leer</v>
      </c>
      <c r="DD16" s="236" t="str">
        <f t="shared" si="4"/>
        <v>leer</v>
      </c>
      <c r="DE16" s="236" t="e">
        <f>VLOOKUP($DD16,TW!$B$4:$H$9,TW!$H$4,FALSE)</f>
        <v>#N/A</v>
      </c>
      <c r="DF16" s="237">
        <f t="shared" ref="DF16:DF29" si="30">IF($AK16="",0,MIN(AM16,$AK16)+$CY16)</f>
        <v>0</v>
      </c>
      <c r="DG16" s="82">
        <f t="shared" ref="DG16:DG29" si="31">IF(AND(H16="KP-7",DF16&gt;0),1/DE16*DF16,IF(AND(H16="KP-7",DF16=0),"",1))</f>
        <v>1</v>
      </c>
      <c r="DH16" s="82" t="e">
        <f>VLOOKUP($DD16,TW!$B$4:$H$9,TW!$G$4,FALSE)</f>
        <v>#N/A</v>
      </c>
      <c r="DI16" s="236" t="str">
        <f>IF($AF16="","leer",IF($AF16=60,VLOOKUP($DD16,TW!$B$4:$H$9,TW!$C$4,FALSE),IF($AF16=80,VLOOKUP($DD16,TW!$B$4:$H$9,TW!$D$4,FALSE),IF($AF16=100,VLOOKUP($DD16,TW!$B$4:$H$9,TW!$E$4,FALSE),IF($AF16=120,VLOOKUP($DD16,TW!$B$4:$H$9,TW!$F$4,FALSE),"")))))</f>
        <v>leer</v>
      </c>
      <c r="DJ16" s="82" t="str">
        <f t="shared" ref="DJ16:DJ29" si="32">IF(AND(ISNUMBER(DH16),ISNUMBER(DI16)),MIN(DH16*DG16,DI16),"leer")</f>
        <v>leer</v>
      </c>
      <c r="DK16" s="82" t="e">
        <f>IF(H16="KP-TypH",INDEX(TW!$C$168:$D$176,MATCH(V16,TW!$B$168:$B$176,0),MATCH(CJ16-0,TW!$C$167:$D$167,0)),IF(H16="KP-TypJ",INDEX(TW!$G$168:$H$176,MATCH(V16,TW!$F$168:$F$176,0),MATCH(CJ16-0,TW!$G$167:$H$167,0)),$DJ16*$DC16))</f>
        <v>#VALUE!</v>
      </c>
      <c r="DL16" s="77" t="str">
        <f>IF(AND(NOT(CZ16=0),OR(K16="QD43",K16="QD43q",K16="QD51",K16="QD51q")),INDEX(TW!$I$156:$L$164,MATCH(V16,TW!$H$156:$H$164,0),MATCH(K16,TW!$I$155:$L$155,0)),IF(OR(AND($H16="KP-TypG",$K16="02")),100,IF(OR($AU16="x",AND($H16="KP-TypG",$K16="01")),50,"-")))</f>
        <v>-</v>
      </c>
      <c r="DN16" s="171">
        <f t="shared" ref="DN16:DN29" si="33">IF(ISBLANK($V16),0,$V16+$Z16+$AB16)</f>
        <v>0</v>
      </c>
      <c r="DO16" s="238">
        <f>IF(ISBLANK($AD16),0,INDEX(BP!$B$3:$C$8,MATCH($AD16,BP!$B$3:$B$8,0),2))</f>
        <v>0</v>
      </c>
      <c r="DP16" s="170">
        <f t="shared" ref="DP16:DP29" si="34">IF($H16="KP-TypG",$DN16*300,IF(OR($H16="KP-TypH",$H16="KP-TypJ"),$DN16*350,$DN16*$AH16))</f>
        <v>0</v>
      </c>
      <c r="DQ16" s="163">
        <f t="shared" ref="DQ16:DQ29" si="35">IF($DP16=0,0,$DP16-$DT16-$EE16-$EJ16-$EP16-$EY16)</f>
        <v>0</v>
      </c>
      <c r="DR16" s="163">
        <f t="shared" ref="DR16:DR29" si="36">$DQ16*$DO16</f>
        <v>0</v>
      </c>
      <c r="DS16" s="169">
        <f>INDEX(BP!$B$3:$C$8,6,2)</f>
        <v>0.17499999999999999</v>
      </c>
      <c r="DT16" s="162">
        <f t="shared" ref="DT16:DT29" si="37">IF(OR($AS16="",$AS16="REI120"),0,IF($H16="KP-TypG",300*24,IF(OR($H16="KP-TypH",$H16="KP-TypJ"),350*24,$AH16*24)))</f>
        <v>0</v>
      </c>
      <c r="DU16" s="163">
        <f t="shared" ref="DU16:DU29" si="38">$DT16*$DS16</f>
        <v>0</v>
      </c>
      <c r="DV16" s="170">
        <f t="shared" ref="DV16:DV29" si="39">IF($H16="KP-6",$T16*2,IF(OR($H16="KP-TypH",$H16="KP-TypJ"),1,$T16))</f>
        <v>0</v>
      </c>
      <c r="DW16" s="170" t="e">
        <f>INDEX(BP!$B$12:$F$29,MATCH($H16,BP!$B$12:$B$29,0),3)</f>
        <v>#N/A</v>
      </c>
      <c r="DX16" s="170" t="e">
        <f>INDEX(BP!$B$12:$F$29,MATCH($H16,BP!$B$12:$B$29,0),4)</f>
        <v>#N/A</v>
      </c>
      <c r="DY16" s="169" t="e">
        <f t="shared" ref="DY16:DY29" si="40">IF(OR($H16="KP-8",$H16="KP-10"),$AO16,$V16-$DX16)</f>
        <v>#N/A</v>
      </c>
      <c r="DZ16" s="169" t="e">
        <f t="shared" ref="DZ16:DZ29" si="41">IF($H16="KP-8",5,IF($H16="KP-10",6,IF($DY16&lt;160,4,5)))</f>
        <v>#N/A</v>
      </c>
      <c r="EA16" s="169" t="e">
        <f t="shared" ref="EA16:EA29" si="42">$DY16*$DZ16</f>
        <v>#N/A</v>
      </c>
      <c r="EB16" s="169" t="str">
        <f t="shared" ref="EB16:EB29" si="43">IF(OR($H16="KP-11",$H16="KP-12"),8,IF(AND($H16="KP-6",$V16="180"),8,IF(AND($H16="KP-6",$V16="220"),10,"-")))</f>
        <v>-</v>
      </c>
      <c r="EC16" s="169" t="e">
        <f t="shared" ref="EC16:EC29" si="44">PI()*($EB16/2)^2</f>
        <v>#VALUE!</v>
      </c>
      <c r="ED16" s="169">
        <f>IF(OR(K16="QD43",K16="QD43q"),BP!$C$92,IF(OR(K16="QD51",K16="QD51q"),BP!$C$94,15))</f>
        <v>15</v>
      </c>
      <c r="EE16" s="163">
        <f>IF(OR(K16="QD43",K16="QD43q"),BP!$D$92,IF(OR(K16="QD51",K16="QD51q"),BP!$D$94,IF($DV16=0,0,IF($DW16="SP",$EA16*$DV16,$DV16*$EC16))))</f>
        <v>0</v>
      </c>
      <c r="EF16" s="163">
        <f t="shared" ref="EF16:EF29" si="45">IF(OR($H16="KP-TypH",$H16="KP-TypJ"),ED16*EE16,IF($DV16=0,0,IF($DW16="SP",$DV16*$EA16*$ED16,$DV16*$EC16*$ED16)))</f>
        <v>0</v>
      </c>
      <c r="EG16" s="169">
        <f t="shared" ref="EG16:EG29" si="46">IF(OR(AND($H16="KP-TypG",$K16="02")),2,IF(OR($AU16="x",AND($H16="KP-TypG",$K16="01")),1,0))</f>
        <v>0</v>
      </c>
      <c r="EH16" s="170">
        <f t="shared" ref="EH16:EH29" si="47">IF($H16="KP-TypG",5*240,5*220)</f>
        <v>1100</v>
      </c>
      <c r="EI16" s="169">
        <v>15</v>
      </c>
      <c r="EJ16" s="162">
        <f t="shared" ref="EJ16:EJ29" si="48">$EH16*$EG16</f>
        <v>0</v>
      </c>
      <c r="EK16" s="162">
        <f t="shared" ref="EK16:EK29" si="49">$EG16*$EH16*$EI16</f>
        <v>0</v>
      </c>
      <c r="EL16" s="169" t="b">
        <f t="shared" ref="EL16:EL29" si="50">IF(OR($H16="KP-1",$H16="KPE-1",$H16="KP-2",$H16="KP-3",$H16="KPE-3",$H16="KP-7",$H16="KP-11",$H16="KP-12"),$O16,IF(OR($H16="KP-6",$H16="KP-8",$H16="KP-9",$H16="KPE-9"),0,IF($H16="KP-10",$T16*2,IF($H16="KP-5",MAX($T16-1,1),IF($H16="KP-TypG",1,IF($H16="KP-TypH",1,IF($H16="KP-TypJ",3)))))))</f>
        <v>0</v>
      </c>
      <c r="EM16" s="239" t="b">
        <f t="shared" ref="EM16:EM29" si="51">IF(OR($H16="KP-1",$H16="KPE-1",$H16="KP-2",$H16="KP-3",$H16="KPE-3",$H16="KP-7",$H16="KP-11",$H16="KP-12"),$R16,IF(OR($H16="KP-6",$H16="KP-8",$H16="KP-9",$H16="KPE-9"),"-",IF($H16="KP-10",12,IF(OR(H16="KP-5",$H16="KP-TypG"),8,IF(H16="KP-TypH",12,IF(H16="KP-TypJ",14))))))</f>
        <v>0</v>
      </c>
      <c r="EN16" s="169">
        <f t="shared" ref="EN16:EN29" si="52">PI()*($EM16/2)^2</f>
        <v>0</v>
      </c>
      <c r="EO16" s="169" t="e">
        <f>INDEX(BP!$B$12:$F$29,MATCH($H16,BP!$B$12:$B$29,0),5)</f>
        <v>#N/A</v>
      </c>
      <c r="EP16" s="162">
        <f t="shared" ref="EP16:EP29" si="53">IF($EL16=0,0,$EN16*$EL16)</f>
        <v>0</v>
      </c>
      <c r="EQ16" s="162" t="e">
        <f t="shared" ref="EQ16:EQ29" si="54">IF($EL16=0,0,$EL16*$EN16*$EO16)</f>
        <v>#N/A</v>
      </c>
      <c r="ER16" s="169" t="e">
        <f>INDEX(BP!$B$12:$F$29,MATCH($H16,BP!$B$12:$B$29,0),2)</f>
        <v>#N/A</v>
      </c>
      <c r="ES16" s="169" t="str">
        <f>IF(OR($H16="KP-1",$H16="KPE-1",$H16="KP-11"),INDEX(BP!$B$32:$F$41,MATCH($V16,BP!$B$32:$B$41,0),MATCH($AF16,BP!$B$32:$F$32,0)),IF(OR($H16="KP-3",$H16="KPE-3"),INDEX(BP!$B$44:$F$53,MATCH($V16,BP!$B$44:$B$53,0),MATCH($AF16,BP!$B$44:$F$44,0)),"DS"))</f>
        <v>DS</v>
      </c>
      <c r="ET16" s="169" t="b">
        <f t="shared" ref="ET16:ET29" si="55">$EL16</f>
        <v>0</v>
      </c>
      <c r="EU16" s="169" t="e">
        <f>INDEX(BP!$B$64:$D$66,MATCH($EM16,BP!$B$64:$B$66,0),2)</f>
        <v>#N/A</v>
      </c>
      <c r="EV16" s="169" t="e">
        <f>IF($H16="KP-11",INDEX(BP!$B$64:$D$74,MATCH($K16,BP!$B$64:$B$74,0),3),$ET16*$EU16)</f>
        <v>#N/A</v>
      </c>
      <c r="EW16" s="169" t="e">
        <f>INDEX(BP!$B$57:$D$60,MATCH($ES16,BP!$B$57:$B$60,0),3)</f>
        <v>#N/A</v>
      </c>
      <c r="EX16" s="169" t="e">
        <f>INDEX(BP!$B$57:$D$60,MATCH($ES16,BP!$B$57:$B$60,0),2)</f>
        <v>#N/A</v>
      </c>
      <c r="EY16" s="163" t="e">
        <f t="shared" ref="EY16:EY29" si="56">IF($ER16="DS",$EP16,$EV16*$EW16)</f>
        <v>#N/A</v>
      </c>
      <c r="EZ16" s="163" t="e">
        <f t="shared" ref="EZ16:EZ29" si="57">IF($ER16="DS",$EQ16,$EV16*$EW16*$EX16)</f>
        <v>#N/A</v>
      </c>
      <c r="FA16" s="158" t="b">
        <f t="shared" ref="FA16:FA29" si="58">IF(OR($H16="KP-1",$H16="KPE-1",$H16="KP-2",$H16="KP-3",$H16="KPE-3",$H16="KP-5",$H16="KP-7",$H16="KP-10",$H16="KP-11",$H16="KP-12",$H16="KP-TypH",$H16="KP-TypJ"),IF(AND($DR16&gt;0,$EF16&gt;0,$EQ16&gt;0,$EZ16),$DR16+$DU16+$EF16+$EK16+$EQ16+$EZ16),IF(OR($H16="KP-6",$H16="KP-8",$H16="KP-9",$H16="KPE-9"),IF(AND($DR16&gt;0,$EF16&gt;0),$DR16+$DU16+$EF16+$EK16),IF($H16="KP-TypG",IF(AND($DR16&gt;0,$EK16&gt;0,$EQ16&gt;0,$EZ16&gt;0),$DR16+$DU16+$EK16+$EQ16+$EZ16))))</f>
        <v>0</v>
      </c>
      <c r="FB16" s="158">
        <f t="shared" ref="FB16:FB29" si="59">$DP16</f>
        <v>0</v>
      </c>
      <c r="FC16" s="159">
        <f t="shared" ref="FC16:FC29" si="60">IF($FB16=0,0,$FA16/$FB16)</f>
        <v>0</v>
      </c>
      <c r="FE16" s="240">
        <f t="shared" ref="FE16:FE29" si="61">$V16</f>
        <v>0</v>
      </c>
      <c r="FF16" s="240">
        <f t="shared" ref="FF16:FF29" si="62">$AF16</f>
        <v>0</v>
      </c>
      <c r="FG16" s="198" t="str">
        <f t="shared" ref="FG16:FG29" si="63">IF(OR($H16="KP-1",$H16="KPE-1",$H16="KP-2",$H16="KP-3",$H16="KPE-3",$H16="KP-7",$H16="KP-11",$H16="KP-12"),$O16,IF($H16="KP-10",$T16*2,"-"))</f>
        <v>-</v>
      </c>
      <c r="FH16" s="198" t="str">
        <f t="shared" ref="FH16:FH29" si="64">IF(OR($H16="KP-1",$H16="KPE-1",$H16="KP-2",$H16="KP-3",$H16="KPE-3",$H16="KP-7",$H16="KP-11",$H16="KP-12"),$R16,IF($H16="KP-10",12,"-"))</f>
        <v>-</v>
      </c>
      <c r="FI16" s="198" t="b">
        <f t="shared" ref="FI16:FI29" si="65">IF(FH16="(8)",8,IF(FH16="10",10,IF(FH16="(12)",12,IF(FH16=12,12,IF(FH16="(14)",14,IF(FH16="14",14))))))</f>
        <v>0</v>
      </c>
      <c r="FJ16" s="198" t="str">
        <f t="shared" ref="FJ16:FJ29" si="66">$ES16</f>
        <v>DS</v>
      </c>
      <c r="FK16" s="198" t="b">
        <f t="shared" ref="FK16:FK29" si="67">IF(OR($H16="KP-1",$H16="KPE-1",$H16="KP-3",$H16="KPE-3",$H16="KP-11"),$EV16,$EL16)</f>
        <v>0</v>
      </c>
      <c r="FL16" s="198" t="str">
        <f t="shared" ref="FL16:FL29" si="68">IF(H16="KP-10",$AO16-$FI16,IF(OR($H16="KP-2",$H16="KP-7",$H16="KP-12"),$FE16-30-30-$FI16,IF(OR($H16="KP-1",$H16="KP-3",$H16="KP-11"),$FE16-30-36-$FI16/2,IF(OR($H16="KPE-1",$H16="KPE-3"),$FE16-45-$FI16/2-36,"-"))))</f>
        <v>-</v>
      </c>
      <c r="FM16" s="241" t="e">
        <f t="shared" ref="FM16:FM29" si="69">PI()*($FI16/2)^2*$FG16</f>
        <v>#VALUE!</v>
      </c>
      <c r="FN16" s="198">
        <f t="shared" ref="FN16:FN29" si="70">IF(OR($H16="KP-3",$H16="KPE-3"),205000,170000)</f>
        <v>170000</v>
      </c>
      <c r="FO16" s="198" t="b">
        <f t="shared" ref="FO16:FO29" si="71">IF($FJ16="DS",$FI16,IF($FJ16=1.4404,15,IF($FJ16=1.4362,16,"-")))</f>
        <v>0</v>
      </c>
      <c r="FP16" s="198" t="str">
        <f t="shared" ref="FP16:FP29" si="72">IF($FJ16="DS","-",IF($FJ16=1.4404,45,IF($FJ16=1.4362,55,40)))</f>
        <v>-</v>
      </c>
      <c r="FQ16" s="198" t="str">
        <f t="shared" ref="FQ16:FQ29" si="73">IF($FJ16="DS","-",IF($FJ16=1.4404,50,IF($FJ16=1.4362,60,58)))</f>
        <v>-</v>
      </c>
      <c r="FR16" s="198">
        <f t="shared" ref="FR16:FR29" si="74">IF($FJ16="UHFB",26*43*$FK16,IF(OR($FJ16=1.4362,$FJ16=1.4404),PI()*($FO16/2)^2*$FK16,PI()*($FI16/2)^2*$FK16))</f>
        <v>0</v>
      </c>
      <c r="FS16" s="198">
        <f t="shared" ref="FS16:FS29" si="75">IF($FJ16="DS",PI()*($FI16/2)^2*$FK16,$FP16*$FQ16*$FK16)</f>
        <v>0</v>
      </c>
      <c r="FT16" s="198">
        <f t="shared" ref="FT16:FT29" si="76">IF($FJ16="UHFB",100,IF($FJ16=1.4404,460/1.15,IF($FJ16=1.4362,650/1.15,IF(OR($H16="KP-3",$H16="KPE-3"),500/1.15,650/1.15))))</f>
        <v>565.21739130434787</v>
      </c>
      <c r="FU16" s="242" t="e">
        <f>IF($FJ16="DS",INDEX(BP!$B$77:$F$87,MATCH($FI16,BP!$B$77:$B$87,0),MATCH($FF16,BP!$B$77:$F$77,0)),INDEX(BP!$B$77:$F$87,MATCH($FJ16,BP!$B$77:$B$87,0),MATCH($FF16,BP!$B$77:$F$77,0)))</f>
        <v>#N/A</v>
      </c>
      <c r="FV16" s="198" t="e">
        <f t="shared" ref="FV16:FV29" si="77">$FT16*$FU16</f>
        <v>#N/A</v>
      </c>
      <c r="FW16" s="198">
        <f t="shared" ref="FW16:FW29" si="78">IF($FJ16="UHFB",50000,IF($FJ16=1.4404,170000,IF($FJ16=1.4362,170000,IF(OR($H16="KP-3",$H16="KPE-3"),205000,170000))))</f>
        <v>170000</v>
      </c>
      <c r="FX16" s="198">
        <v>20</v>
      </c>
      <c r="FY16" s="198">
        <v>35000</v>
      </c>
      <c r="FZ16" s="198">
        <v>1</v>
      </c>
      <c r="GA16" s="198" t="e">
        <f t="shared" ref="GA16:GA29" si="79">$FZ16/($FL16/1000)</f>
        <v>#VALUE!</v>
      </c>
      <c r="GB16" s="198" t="e">
        <f t="shared" ref="GB16:GB29" si="80">$GA16*1000/$FM16</f>
        <v>#VALUE!</v>
      </c>
      <c r="GC16" s="198" t="e">
        <f t="shared" ref="GC16:GC29" si="81">$GB16/$FN16</f>
        <v>#VALUE!</v>
      </c>
      <c r="GD16" s="240">
        <f t="shared" ref="GD16:GD29" si="82">10*$FI16+$FF16</f>
        <v>0</v>
      </c>
      <c r="GE16" s="242" t="e">
        <f t="shared" ref="GE16:GE29" si="83">$GA16*1000/$FR16</f>
        <v>#VALUE!</v>
      </c>
      <c r="GF16" s="242" t="e">
        <f t="shared" ref="GF16:GF29" si="84">$GA16*1000/(($FR16+$FS16)/2)</f>
        <v>#VALUE!</v>
      </c>
      <c r="GG16" s="242" t="e">
        <f t="shared" ref="GG16:GG29" si="85">$GA16*1000/$FS16</f>
        <v>#VALUE!</v>
      </c>
      <c r="GH16" s="243" t="e">
        <f t="shared" ref="GH16:GH29" si="86">$GE16/$FW16</f>
        <v>#VALUE!</v>
      </c>
      <c r="GI16" s="243" t="e">
        <f t="shared" ref="GI16:GI29" si="87">$GF16/$FW16</f>
        <v>#VALUE!</v>
      </c>
      <c r="GJ16" s="243" t="e">
        <f t="shared" ref="GJ16:GJ29" si="88">$GG16/$FY16</f>
        <v>#VALUE!</v>
      </c>
      <c r="GK16" s="240">
        <f t="shared" ref="GK16:GK29" si="89">$FF16</f>
        <v>0</v>
      </c>
      <c r="GL16" s="198">
        <f t="shared" ref="GL16:GL29" si="90">IF($FJ16="DS",5*$FI16,IF($FJ16=1.4404,20,IF($FJ16=1.4362,24,0)))</f>
        <v>0</v>
      </c>
      <c r="GM16" s="198">
        <f t="shared" ref="GM16:GM29" si="91">IF($FJ16="DS",5*$FI16,40)</f>
        <v>0</v>
      </c>
      <c r="GN16" s="240" t="e">
        <f t="shared" ref="GN16:GN29" si="92">$GC16*$GD16</f>
        <v>#VALUE!</v>
      </c>
      <c r="GO16" s="243" t="e">
        <f t="shared" ref="GO16:GO29" si="93">$GH16*$GK16+$GI16*$GL16+$GJ16*$GM16</f>
        <v>#VALUE!</v>
      </c>
      <c r="GP16" s="198" t="e">
        <f t="shared" ref="GP16:GP29" si="94">($GN16+$GO16)/$FL16</f>
        <v>#VALUE!</v>
      </c>
      <c r="GQ16" s="244" t="e">
        <f t="shared" ref="GQ16:GQ29" si="95">$FZ16/$GP16</f>
        <v>#VALUE!</v>
      </c>
      <c r="GR16" s="199" t="e">
        <f t="shared" ref="GR16:GR29" si="96">$DY16</f>
        <v>#N/A</v>
      </c>
      <c r="GS16" s="198" t="e">
        <f t="shared" ref="GS16:GS29" si="97">$DZ16</f>
        <v>#N/A</v>
      </c>
      <c r="GT16" s="198" t="e">
        <f t="shared" ref="GT16:GT29" si="98">$GY16/$GS16</f>
        <v>#N/A</v>
      </c>
      <c r="GU16" s="198" t="e">
        <f t="shared" ref="GU16:GU29" si="99">$GR16-$GT16-$GT16</f>
        <v>#N/A</v>
      </c>
      <c r="GV16" s="245">
        <f t="shared" ref="GV16:GV29" si="100">$DV16</f>
        <v>0</v>
      </c>
      <c r="GW16" s="198">
        <v>170000</v>
      </c>
      <c r="GX16" s="198">
        <v>8</v>
      </c>
      <c r="GY16" s="198">
        <f t="shared" ref="GY16:GY29" si="101">PI()*($GX16/2)^2</f>
        <v>50.26548245743669</v>
      </c>
      <c r="GZ16" s="198" t="e">
        <f t="shared" ref="GZ16:GZ29" si="102">$GS16*$GT16</f>
        <v>#N/A</v>
      </c>
      <c r="HA16" s="198">
        <v>1</v>
      </c>
      <c r="HB16" s="198" t="e">
        <f t="shared" ref="HB16:HB29" si="103">$HA16/($GU16/1000)</f>
        <v>#N/A</v>
      </c>
      <c r="HC16" s="198" t="e">
        <f t="shared" ref="HC16:HC29" si="104">$HB16*1000/$GY16</f>
        <v>#N/A</v>
      </c>
      <c r="HD16" s="198" t="e">
        <f t="shared" ref="HD16:HD29" si="105">$HB16/(($GR16*$GS16)/3/1000)</f>
        <v>#N/A</v>
      </c>
      <c r="HE16" s="198">
        <f t="shared" ref="HE16:HF29" si="106">IF($FF16&lt;100,80+40,120+40)</f>
        <v>120</v>
      </c>
      <c r="HF16" s="198">
        <f t="shared" si="106"/>
        <v>120</v>
      </c>
      <c r="HG16" s="198">
        <v>100</v>
      </c>
      <c r="HH16" s="198" t="e">
        <f t="shared" ref="HH16:HH29" si="107">$HC16/$GW16</f>
        <v>#N/A</v>
      </c>
      <c r="HI16" s="198" t="e">
        <f t="shared" ref="HI16:HI29" si="108">$HD16/$FY16</f>
        <v>#N/A</v>
      </c>
      <c r="HJ16" s="198" t="e">
        <f t="shared" ref="HJ16:HJ29" si="109">$HH16*$HF16</f>
        <v>#N/A</v>
      </c>
      <c r="HK16" s="198" t="e">
        <f t="shared" ref="HK16:HK29" si="110">2*$HI16/3*($HG16+$HE16)</f>
        <v>#N/A</v>
      </c>
      <c r="HL16" s="198" t="e">
        <f t="shared" ref="HL16:HL29" si="111">($HJ16+$HK16)/($GR16-($GT16/2))</f>
        <v>#N/A</v>
      </c>
      <c r="HM16" s="198" t="e">
        <f t="shared" ref="HM16:HM29" si="112">$HA16/$HL16*$GV16</f>
        <v>#N/A</v>
      </c>
      <c r="HN16" s="241" t="e">
        <f>IF(H16="KP-TypJ",INDEX(TW!$O$168:$P$176,MATCH(V16,TW!$N$168:$N$176,0),MATCH(CJ16-0,TW!$O$167:$P$167,0)),IF(OR($H16="KP-11",$H16="KP-12"),$GQ16,$HM16+$GQ16))</f>
        <v>#N/A</v>
      </c>
    </row>
    <row r="17" spans="1:222" x14ac:dyDescent="0.25">
      <c r="A17" s="349"/>
      <c r="B17" s="350"/>
      <c r="C17" s="417"/>
      <c r="D17" s="350"/>
      <c r="E17" s="349"/>
      <c r="F17" s="350"/>
      <c r="G17" s="17"/>
      <c r="H17" s="420"/>
      <c r="I17" s="421"/>
      <c r="J17" s="421"/>
      <c r="K17" s="418"/>
      <c r="L17" s="418"/>
      <c r="M17" s="419"/>
      <c r="N17" s="10"/>
      <c r="O17" s="289"/>
      <c r="P17" s="290"/>
      <c r="Q17" s="13" t="s">
        <v>7</v>
      </c>
      <c r="R17" s="412"/>
      <c r="S17" s="413"/>
      <c r="T17" s="414"/>
      <c r="U17" s="415"/>
      <c r="V17" s="289"/>
      <c r="W17" s="290"/>
      <c r="X17" s="393" t="str">
        <f t="shared" si="7"/>
        <v/>
      </c>
      <c r="Y17" s="394"/>
      <c r="Z17" s="369"/>
      <c r="AA17" s="370"/>
      <c r="AB17" s="397"/>
      <c r="AC17" s="398"/>
      <c r="AD17" s="383"/>
      <c r="AE17" s="384"/>
      <c r="AF17" s="395"/>
      <c r="AG17" s="396"/>
      <c r="AH17" s="230"/>
      <c r="AI17" s="69" t="str">
        <f t="shared" si="8"/>
        <v/>
      </c>
      <c r="AJ17" s="18"/>
      <c r="AK17" s="349"/>
      <c r="AL17" s="350"/>
      <c r="AM17" s="349"/>
      <c r="AN17" s="350"/>
      <c r="AO17" s="318" t="str">
        <f>IF(AND(OR(H17="KP-8",H17="KP-10"),V17&gt;0),VLOOKUP(V17,'.'!$AO$32:$AQ$40,2,FALSE),"")</f>
        <v/>
      </c>
      <c r="AP17" s="319"/>
      <c r="AQ17" s="316" t="str">
        <f>IF(AND(OR(H17="KP-8",H17="KP-10"),V17&gt;0),VLOOKUP(V17,'.'!$AO$32:$AQ$40,3,FALSE),"")</f>
        <v/>
      </c>
      <c r="AR17" s="317"/>
      <c r="AS17" s="339" t="str">
        <f t="shared" si="9"/>
        <v/>
      </c>
      <c r="AT17" s="340"/>
      <c r="AU17" s="314"/>
      <c r="AV17" s="315"/>
      <c r="AW17" s="314"/>
      <c r="AX17" s="315"/>
      <c r="AY17" s="12"/>
      <c r="AZ17" s="291"/>
      <c r="BA17" s="292"/>
      <c r="BB17" s="292"/>
      <c r="BC17" s="293"/>
      <c r="BD17" s="5"/>
      <c r="BE17" s="5"/>
      <c r="BF17" s="128" t="str">
        <f t="shared" si="10"/>
        <v>-</v>
      </c>
      <c r="BG17" s="129" t="str">
        <f t="shared" si="11"/>
        <v>-</v>
      </c>
      <c r="BH17" s="130" t="str">
        <f t="shared" si="12"/>
        <v>-</v>
      </c>
      <c r="BI17" s="130" t="str">
        <f t="shared" si="13"/>
        <v>-</v>
      </c>
      <c r="BJ17" s="136"/>
      <c r="BK17" s="177" t="str">
        <f t="shared" si="14"/>
        <v>-</v>
      </c>
      <c r="BL17" s="136"/>
      <c r="BM17" s="143" t="str">
        <f t="shared" si="15"/>
        <v>-</v>
      </c>
      <c r="BN17" s="143" t="str">
        <f t="shared" si="16"/>
        <v>-</v>
      </c>
      <c r="BQ17" s="225" t="str">
        <f>IF($H17="","leer",VLOOKUP($H17,'.'!$AO$7:$AY$28,2,FALSE))</f>
        <v>leer</v>
      </c>
      <c r="BR17" s="225" t="str">
        <f>IF($H17="","leer",VLOOKUP($H17,'.'!$AO$7:$AY$28,3,FALSE))</f>
        <v>leer</v>
      </c>
      <c r="BS17" s="225" t="str">
        <f>IF($H17="","Dleer.",IF(OR(K17="QD43",K17="QD43q"),"TypQD43D.",IF(OR(K17="QD51",K17="QD51q"),"TypQD51D.",IF(AND($H17='.'!$AO$22,$K17="02"),"TypG02D.",VLOOKUP($H17,'.'!$AO$7:$AY$28,4,FALSE)))))</f>
        <v>Dleer.</v>
      </c>
      <c r="BT17" s="225" t="str">
        <f>IF($H17="","ITleer.",VLOOKUP($H17,'.'!$AO$7:$AY$28,5,FALSE))</f>
        <v>ITleer.</v>
      </c>
      <c r="BU17" s="225" t="str">
        <f>IF($AD17="(PUR)","TypPURIS.",IF($H17="","ISleer.",VLOOKUP($H17,'.'!$AO$7:$AY$28,6,FALSE)))</f>
        <v>ISleer.</v>
      </c>
      <c r="BV17" s="225" t="str">
        <f>IF($H17="","Fleer.",VLOOKUP($H17,'.'!$AO$7:$AY$28,7,FALSE))</f>
        <v>Fleer.</v>
      </c>
      <c r="BW17" s="225" t="str">
        <f>IF($H17="","leer",IF(AH17&lt;T17*100+220,"leer",VLOOKUP($H17,'.'!$AO$7:$AY$28,8,FALSE)))</f>
        <v>leer</v>
      </c>
      <c r="BX17" s="225" t="str">
        <f>IF($H17="","leer",VLOOKUP($H17,'.'!$AO$7:$AY$28,9,FALSE))</f>
        <v>leer</v>
      </c>
      <c r="BY17" s="225" t="str">
        <f>IF($H17="","leer",VLOOKUP($H17,'.'!$AO$7:$AY$28,10,FALSE))</f>
        <v>leer</v>
      </c>
      <c r="BZ17" s="226" t="e">
        <f>INDEX('.'!$AP$43:$BA$53,MATCH(H17,'.'!$AO$43:$AO$53,0),MATCH(K17,'.'!$AP$42:$BA$42,0))</f>
        <v>#N/A</v>
      </c>
      <c r="CA17" s="225" t="str">
        <f>IF($H17="","leer",VLOOKUP($H17,'.'!$AO$7:$AY$28,11,FALSE))</f>
        <v>leer</v>
      </c>
      <c r="CB17" s="225" t="e">
        <f>INDEX('.'!$AP$56:$BA$66,MATCH(H17,'.'!$AO$56:$AO$66,0),MATCH(K17,'.'!$AP$55:$BA$55,0))</f>
        <v>#N/A</v>
      </c>
      <c r="CC17" s="225" t="str">
        <f>IF(OR($H17="",$H17="KP-TypB",$H17="KP-TypC",$H17="KP-TypD",$H17="KP-TypH",$H17="KP-TypJ",$H17="KP-TypK"),"leer",IF(OR($H17="KP-1",$H17="KPE-1",$H17="KP-3",$H17="KPE-3",$H17="KP-11",$H17="KP-12",$H17="KP-TypG"),VLOOKUP(O17,'.'!$BA$7:$BB$15,2,FALSE),IF(OR($H17="KP-2",$H17="KP-7"),VLOOKUP(O17,'.'!$BD$7:$BE$15,2,FALSE),"n0.")))</f>
        <v>leer</v>
      </c>
      <c r="CD17" s="227" t="e">
        <f>INDEX('.'!$AP$69:$BA$79,MATCH(H17,'.'!$AO$69:$AO$79,0),MATCH(K17,'.'!$AP$68:$BA$68,0))</f>
        <v>#N/A</v>
      </c>
      <c r="CF17" s="117" t="e">
        <f>VLOOKUP($H17,TW!$L$54:$M$72,TW!$M$54,FALSE)</f>
        <v>#N/A</v>
      </c>
      <c r="CG17" s="117">
        <f t="shared" si="17"/>
        <v>0</v>
      </c>
      <c r="CH17" s="118">
        <f t="shared" si="18"/>
        <v>0</v>
      </c>
      <c r="CI17" s="118">
        <f t="shared" si="1"/>
        <v>0</v>
      </c>
      <c r="CJ17" s="117">
        <f t="shared" si="19"/>
        <v>0</v>
      </c>
      <c r="CK17" s="117" t="str">
        <f t="shared" si="20"/>
        <v>ø0-0</v>
      </c>
      <c r="CL17" s="122" t="b">
        <f>IF($H17="KP-1",INDEX(TW!$B$54:$J$63,MATCH($CI17,TW!$B$54:$B$63,0),MATCH($CK17,TW!$B$54:$J$54,0)),IF($H17="KPE-1",INDEX(TW!$B$66:$J$74,MATCH($CI17,TW!$B$66:$B$74,0),MATCH($CK17,TW!$B$66:$J$66,0)),IF($H17="KP-3",INDEX(TW!$B$77:$J$86,MATCH($CI17,TW!$B$77:$B$86,0),MATCH($CK17,TW!$B$77:$J$77,0)),IF($H17="KPE-3",INDEX(TW!$B$89:$J$97,MATCH($CI17,TW!$B$89:$B$97,0),MATCH($CK17,TW!$B$89:$J$89,0)),IF(OR($H17="KP-2",$H17="KP-7"),INDEX(TW!$B$100:$V$109,MATCH($CI17,TW!$B$100:$B$109,0),MATCH($CK17,TW!$B$100:$V$100,0)),IF($H17="KP-10",INDEX(TW!$B$121:$F$130,MATCH($CI17,TW!$B$121:$B$130,0),MATCH($CJ17,TW!$B$121:$F$121,0)),IF($H17="KP-11",INDEX(TW!$B$133:$J$141,MATCH($CI17,TW!$B$133:$B$141,0),MATCH($CK17,TW!$B$133:$J$133,0)),IF($H17="KP-12",INDEX(TW!$B$144:$J$152,MATCH($CI17,TW!$B$144:$B$152,0),MATCH($CK17,TW!$B$144:$J$144,0))))))))))</f>
        <v>0</v>
      </c>
      <c r="CM17" s="117" t="e">
        <f>VLOOKUP($CH17,TW!$B$112:$C$118,TW!$C$113,FALSE)</f>
        <v>#N/A</v>
      </c>
      <c r="CN17" s="235">
        <f t="shared" si="21"/>
        <v>0</v>
      </c>
      <c r="CO17" s="122">
        <f t="shared" si="22"/>
        <v>1</v>
      </c>
      <c r="CP17" s="122" t="e">
        <f>$CL17*(VLOOKUP($CH17,TW!$B$112:$D$118,TW!$D$113,FALSE)/INDEX(TW!$F$112:$J$117,MATCH($CH17,TW!$F$112:$F$117,0),MATCH($CJ17,TW!$F$112:$J$112,0)))</f>
        <v>#N/A</v>
      </c>
      <c r="CQ17" s="122" t="b">
        <f t="shared" si="23"/>
        <v>0</v>
      </c>
      <c r="CR17" s="122" t="str">
        <f t="shared" si="24"/>
        <v>leer</v>
      </c>
      <c r="CS17" s="122">
        <f>IF(H17="KP-12",INDEX(TW!$H$42:$L$50,MATCH($CY17,TW!$B$42:$B$50,0),MATCH($CZ17,TW!$B$42:$F$42,0)),0)</f>
        <v>0</v>
      </c>
      <c r="CT17" s="122">
        <f t="shared" si="25"/>
        <v>-60</v>
      </c>
      <c r="CU17" s="122">
        <f t="shared" si="26"/>
        <v>0</v>
      </c>
      <c r="CV17" s="122" t="str">
        <f>IF(H17="KP-TypJ",INDEX(TW!$K$168:$L$176,MATCH(V17,TW!$H$156:$H$164,0),MATCH(AF17-0,TW!$K$167:$L$167,0)),IF($H17="KP-7",$CG17*$CR17,IF(OR($H17="KP-9",$H17="KPE-9"),999,IF(ISNUMBER($CL17),$CL17*$CG17-$CU17,"-"))))</f>
        <v>-</v>
      </c>
      <c r="CW17" s="101" t="e">
        <f>VLOOKUP($H17,TW!$H$13:$I$30,TW!$I$13,FALSE)</f>
        <v>#N/A</v>
      </c>
      <c r="CX17" s="102" t="str">
        <f t="shared" si="27"/>
        <v>leer</v>
      </c>
      <c r="CY17" s="102">
        <f t="shared" si="28"/>
        <v>-60</v>
      </c>
      <c r="CZ17" s="102">
        <f t="shared" si="2"/>
        <v>0</v>
      </c>
      <c r="DA17" s="115" t="e">
        <f>IF($H17="KP-6",INDEX(TW!$B$25:$F$27,MATCH($CY17,TW!$B$25:$B$27,0),MATCH($CZ17,TW!$B$25:$F$25,0)),IF(OR($H17="KP-8",$H17="KP-10"),INDEX(TW!$B$30:$F$39,MATCH($CY17,TW!$B$30:$B$39,0),MATCH($CZ17,TW!$B$30:$F$30,0)),IF(OR($H17="KP-11",$H17="KP-12"),INDEX(TW!$B$42:$F$50,MATCH($CY17,TW!$B$42:$B$50,0),MATCH($CZ17,TW!$B$42:$F$42,0)),INDEX(TW!$B$13:$F$22,MATCH($CY17,TW!$B$13:$B$22,0),MATCH($CZ17,TW!$B$13:$F$13,0)))))</f>
        <v>#N/A</v>
      </c>
      <c r="DB17" s="115" t="str">
        <f>IF(AND(NOT(CZ17=0),OR(K17="QD43",K17="QD43q",K17="QD51",K17="QD51q")),INDEX(TW!$C$156:$F$164,MATCH(V17,TW!$B$156:$B$164,0),MATCH(K17,TW!$C$155:$F$155,0)),IF(AND(ISNUMBER($CX17),ISNUMBER($DA17)),$CX17*$DA17,"-"))</f>
        <v>-</v>
      </c>
      <c r="DC17" s="236" t="str">
        <f t="shared" si="29"/>
        <v>leer</v>
      </c>
      <c r="DD17" s="236" t="str">
        <f t="shared" si="4"/>
        <v>leer</v>
      </c>
      <c r="DE17" s="236" t="e">
        <f>VLOOKUP($DD17,TW!$B$4:$H$9,TW!$H$4,FALSE)</f>
        <v>#N/A</v>
      </c>
      <c r="DF17" s="237">
        <f t="shared" si="30"/>
        <v>0</v>
      </c>
      <c r="DG17" s="82">
        <f t="shared" si="31"/>
        <v>1</v>
      </c>
      <c r="DH17" s="82" t="e">
        <f>VLOOKUP($DD17,TW!$B$4:$H$9,TW!$G$4,FALSE)</f>
        <v>#N/A</v>
      </c>
      <c r="DI17" s="236" t="str">
        <f>IF($AF17="","leer",IF($AF17=60,VLOOKUP($DD17,TW!$B$4:$H$9,TW!$C$4,FALSE),IF($AF17=80,VLOOKUP($DD17,TW!$B$4:$H$9,TW!$D$4,FALSE),IF($AF17=100,VLOOKUP($DD17,TW!$B$4:$H$9,TW!$E$4,FALSE),IF($AF17=120,VLOOKUP($DD17,TW!$B$4:$H$9,TW!$F$4,FALSE),"")))))</f>
        <v>leer</v>
      </c>
      <c r="DJ17" s="82" t="str">
        <f t="shared" si="32"/>
        <v>leer</v>
      </c>
      <c r="DK17" s="82" t="e">
        <f>IF(H17="KP-TypH",INDEX(TW!$C$168:$D$176,MATCH(V17,TW!$B$168:$B$176,0),MATCH(CJ17-0,TW!$C$167:$D$167,0)),IF(H17="KP-TypJ",INDEX(TW!$G$168:$H$176,MATCH(V17,TW!$F$168:$F$176,0),MATCH(CJ17-0,TW!$G$167:$H$167,0)),$DJ17*$DC17))</f>
        <v>#VALUE!</v>
      </c>
      <c r="DL17" s="77" t="str">
        <f>IF(AND(NOT(CZ17=0),OR(K17="QD43",K17="QD43q",K17="QD51",K17="QD51q")),INDEX(TW!$I$156:$L$164,MATCH(V17,TW!$H$156:$H$164,0),MATCH(K17,TW!$I$155:$L$155,0)),IF(OR(AND($H17="KP-TypG",$K17="02")),100,IF(OR($AU17="x",AND($H17="KP-TypG",$K17="01")),50,"-")))</f>
        <v>-</v>
      </c>
      <c r="DN17" s="171">
        <f t="shared" si="33"/>
        <v>0</v>
      </c>
      <c r="DO17" s="238">
        <f>IF(ISBLANK($AD17),0,INDEX(BP!$B$3:$C$8,MATCH($AD17,BP!$B$3:$B$8,0),2))</f>
        <v>0</v>
      </c>
      <c r="DP17" s="170">
        <f t="shared" si="34"/>
        <v>0</v>
      </c>
      <c r="DQ17" s="163">
        <f t="shared" si="35"/>
        <v>0</v>
      </c>
      <c r="DR17" s="163">
        <f t="shared" si="36"/>
        <v>0</v>
      </c>
      <c r="DS17" s="169">
        <f>INDEX(BP!$B$3:$C$8,6,2)</f>
        <v>0.17499999999999999</v>
      </c>
      <c r="DT17" s="162">
        <f t="shared" si="37"/>
        <v>0</v>
      </c>
      <c r="DU17" s="163">
        <f t="shared" si="38"/>
        <v>0</v>
      </c>
      <c r="DV17" s="170">
        <f t="shared" si="39"/>
        <v>0</v>
      </c>
      <c r="DW17" s="170" t="e">
        <f>INDEX(BP!$B$12:$F$29,MATCH($H17,BP!$B$12:$B$29,0),3)</f>
        <v>#N/A</v>
      </c>
      <c r="DX17" s="170" t="e">
        <f>INDEX(BP!$B$12:$F$29,MATCH($H17,BP!$B$12:$B$29,0),4)</f>
        <v>#N/A</v>
      </c>
      <c r="DY17" s="169" t="e">
        <f t="shared" si="40"/>
        <v>#N/A</v>
      </c>
      <c r="DZ17" s="169" t="e">
        <f t="shared" si="41"/>
        <v>#N/A</v>
      </c>
      <c r="EA17" s="169" t="e">
        <f t="shared" si="42"/>
        <v>#N/A</v>
      </c>
      <c r="EB17" s="169" t="str">
        <f t="shared" si="43"/>
        <v>-</v>
      </c>
      <c r="EC17" s="169" t="e">
        <f t="shared" si="44"/>
        <v>#VALUE!</v>
      </c>
      <c r="ED17" s="169">
        <f>IF(OR(K17="QD43",K17="QD43q"),BP!$C$92,IF(OR(K17="QD51",K17="QD51q"),BP!$C$94,15))</f>
        <v>15</v>
      </c>
      <c r="EE17" s="163">
        <f>IF(OR(K17="QD43",K17="QD43q"),BP!$D$92,IF(OR(K17="QD51",K17="QD51q"),BP!$D$94,IF($DV17=0,0,IF($DW17="SP",$EA17*$DV17,$DV17*$EC17))))</f>
        <v>0</v>
      </c>
      <c r="EF17" s="163">
        <f t="shared" si="45"/>
        <v>0</v>
      </c>
      <c r="EG17" s="169">
        <f t="shared" si="46"/>
        <v>0</v>
      </c>
      <c r="EH17" s="170">
        <f t="shared" si="47"/>
        <v>1100</v>
      </c>
      <c r="EI17" s="169">
        <v>15</v>
      </c>
      <c r="EJ17" s="162">
        <f t="shared" si="48"/>
        <v>0</v>
      </c>
      <c r="EK17" s="162">
        <f t="shared" si="49"/>
        <v>0</v>
      </c>
      <c r="EL17" s="169" t="b">
        <f t="shared" si="50"/>
        <v>0</v>
      </c>
      <c r="EM17" s="239" t="b">
        <f t="shared" si="51"/>
        <v>0</v>
      </c>
      <c r="EN17" s="169">
        <f t="shared" si="52"/>
        <v>0</v>
      </c>
      <c r="EO17" s="169" t="e">
        <f>INDEX(BP!$B$12:$F$29,MATCH($H17,BP!$B$12:$B$29,0),5)</f>
        <v>#N/A</v>
      </c>
      <c r="EP17" s="162">
        <f t="shared" si="53"/>
        <v>0</v>
      </c>
      <c r="EQ17" s="162" t="e">
        <f t="shared" si="54"/>
        <v>#N/A</v>
      </c>
      <c r="ER17" s="169" t="e">
        <f>INDEX(BP!$B$12:$F$29,MATCH($H17,BP!$B$12:$B$29,0),2)</f>
        <v>#N/A</v>
      </c>
      <c r="ES17" s="169" t="str">
        <f>IF(OR($H17="KP-1",$H17="KPE-1",$H17="KP-11"),INDEX(BP!$B$32:$F$41,MATCH($V17,BP!$B$32:$B$41,0),MATCH($AF17,BP!$B$32:$F$32,0)),IF(OR($H17="KP-3",$H17="KPE-3"),INDEX(BP!$B$44:$F$53,MATCH($V17,BP!$B$44:$B$53,0),MATCH($AF17,BP!$B$44:$F$44,0)),"DS"))</f>
        <v>DS</v>
      </c>
      <c r="ET17" s="169" t="b">
        <f t="shared" si="55"/>
        <v>0</v>
      </c>
      <c r="EU17" s="169" t="e">
        <f>INDEX(BP!$B$64:$D$66,MATCH($EM17,BP!$B$64:$B$66,0),2)</f>
        <v>#N/A</v>
      </c>
      <c r="EV17" s="169" t="e">
        <f>IF($H17="KP-11",INDEX(BP!$B$64:$D$74,MATCH($K17,BP!$B$64:$B$74,0),3),$ET17*$EU17)</f>
        <v>#N/A</v>
      </c>
      <c r="EW17" s="169" t="e">
        <f>INDEX(BP!$B$57:$D$60,MATCH($ES17,BP!$B$57:$B$60,0),3)</f>
        <v>#N/A</v>
      </c>
      <c r="EX17" s="169" t="e">
        <f>INDEX(BP!$B$57:$D$60,MATCH($ES17,BP!$B$57:$B$60,0),2)</f>
        <v>#N/A</v>
      </c>
      <c r="EY17" s="163" t="e">
        <f t="shared" si="56"/>
        <v>#N/A</v>
      </c>
      <c r="EZ17" s="163" t="e">
        <f t="shared" si="57"/>
        <v>#N/A</v>
      </c>
      <c r="FA17" s="158" t="b">
        <f t="shared" si="58"/>
        <v>0</v>
      </c>
      <c r="FB17" s="158">
        <f t="shared" si="59"/>
        <v>0</v>
      </c>
      <c r="FC17" s="159">
        <f t="shared" si="60"/>
        <v>0</v>
      </c>
      <c r="FE17" s="240">
        <f t="shared" si="61"/>
        <v>0</v>
      </c>
      <c r="FF17" s="240">
        <f t="shared" si="62"/>
        <v>0</v>
      </c>
      <c r="FG17" s="198" t="str">
        <f t="shared" si="63"/>
        <v>-</v>
      </c>
      <c r="FH17" s="198" t="str">
        <f t="shared" si="64"/>
        <v>-</v>
      </c>
      <c r="FI17" s="198" t="b">
        <f t="shared" si="65"/>
        <v>0</v>
      </c>
      <c r="FJ17" s="198" t="str">
        <f t="shared" si="66"/>
        <v>DS</v>
      </c>
      <c r="FK17" s="198" t="b">
        <f t="shared" si="67"/>
        <v>0</v>
      </c>
      <c r="FL17" s="198" t="str">
        <f t="shared" si="68"/>
        <v>-</v>
      </c>
      <c r="FM17" s="241" t="e">
        <f t="shared" si="69"/>
        <v>#VALUE!</v>
      </c>
      <c r="FN17" s="198">
        <f t="shared" si="70"/>
        <v>170000</v>
      </c>
      <c r="FO17" s="198" t="b">
        <f t="shared" si="71"/>
        <v>0</v>
      </c>
      <c r="FP17" s="198" t="str">
        <f t="shared" si="72"/>
        <v>-</v>
      </c>
      <c r="FQ17" s="198" t="str">
        <f t="shared" si="73"/>
        <v>-</v>
      </c>
      <c r="FR17" s="198">
        <f t="shared" si="74"/>
        <v>0</v>
      </c>
      <c r="FS17" s="198">
        <f t="shared" si="75"/>
        <v>0</v>
      </c>
      <c r="FT17" s="198">
        <f t="shared" si="76"/>
        <v>565.21739130434787</v>
      </c>
      <c r="FU17" s="242" t="e">
        <f>IF($FJ17="DS",INDEX(BP!$B$77:$F$87,MATCH($FI17,BP!$B$77:$B$87,0),MATCH($FF17,BP!$B$77:$F$77,0)),INDEX(BP!$B$77:$F$87,MATCH($FJ17,BP!$B$77:$B$87,0),MATCH($FF17,BP!$B$77:$F$77,0)))</f>
        <v>#N/A</v>
      </c>
      <c r="FV17" s="198" t="e">
        <f t="shared" si="77"/>
        <v>#N/A</v>
      </c>
      <c r="FW17" s="198">
        <f t="shared" si="78"/>
        <v>170000</v>
      </c>
      <c r="FX17" s="198">
        <v>20</v>
      </c>
      <c r="FY17" s="198">
        <v>35000</v>
      </c>
      <c r="FZ17" s="198">
        <v>1</v>
      </c>
      <c r="GA17" s="198" t="e">
        <f t="shared" si="79"/>
        <v>#VALUE!</v>
      </c>
      <c r="GB17" s="198" t="e">
        <f t="shared" si="80"/>
        <v>#VALUE!</v>
      </c>
      <c r="GC17" s="198" t="e">
        <f t="shared" si="81"/>
        <v>#VALUE!</v>
      </c>
      <c r="GD17" s="240">
        <f t="shared" si="82"/>
        <v>0</v>
      </c>
      <c r="GE17" s="242" t="e">
        <f t="shared" si="83"/>
        <v>#VALUE!</v>
      </c>
      <c r="GF17" s="242" t="e">
        <f t="shared" si="84"/>
        <v>#VALUE!</v>
      </c>
      <c r="GG17" s="242" t="e">
        <f t="shared" si="85"/>
        <v>#VALUE!</v>
      </c>
      <c r="GH17" s="243" t="e">
        <f t="shared" si="86"/>
        <v>#VALUE!</v>
      </c>
      <c r="GI17" s="243" t="e">
        <f t="shared" si="87"/>
        <v>#VALUE!</v>
      </c>
      <c r="GJ17" s="243" t="e">
        <f t="shared" si="88"/>
        <v>#VALUE!</v>
      </c>
      <c r="GK17" s="240">
        <f t="shared" si="89"/>
        <v>0</v>
      </c>
      <c r="GL17" s="198">
        <f t="shared" si="90"/>
        <v>0</v>
      </c>
      <c r="GM17" s="198">
        <f t="shared" si="91"/>
        <v>0</v>
      </c>
      <c r="GN17" s="240" t="e">
        <f t="shared" si="92"/>
        <v>#VALUE!</v>
      </c>
      <c r="GO17" s="243" t="e">
        <f t="shared" si="93"/>
        <v>#VALUE!</v>
      </c>
      <c r="GP17" s="198" t="e">
        <f t="shared" si="94"/>
        <v>#VALUE!</v>
      </c>
      <c r="GQ17" s="244" t="e">
        <f t="shared" si="95"/>
        <v>#VALUE!</v>
      </c>
      <c r="GR17" s="199" t="e">
        <f t="shared" si="96"/>
        <v>#N/A</v>
      </c>
      <c r="GS17" s="198" t="e">
        <f t="shared" si="97"/>
        <v>#N/A</v>
      </c>
      <c r="GT17" s="198" t="e">
        <f t="shared" si="98"/>
        <v>#N/A</v>
      </c>
      <c r="GU17" s="198" t="e">
        <f t="shared" si="99"/>
        <v>#N/A</v>
      </c>
      <c r="GV17" s="245">
        <f t="shared" si="100"/>
        <v>0</v>
      </c>
      <c r="GW17" s="198">
        <v>170000</v>
      </c>
      <c r="GX17" s="198">
        <v>8</v>
      </c>
      <c r="GY17" s="198">
        <f t="shared" si="101"/>
        <v>50.26548245743669</v>
      </c>
      <c r="GZ17" s="198" t="e">
        <f t="shared" si="102"/>
        <v>#N/A</v>
      </c>
      <c r="HA17" s="198">
        <v>1</v>
      </c>
      <c r="HB17" s="198" t="e">
        <f t="shared" si="103"/>
        <v>#N/A</v>
      </c>
      <c r="HC17" s="198" t="e">
        <f t="shared" si="104"/>
        <v>#N/A</v>
      </c>
      <c r="HD17" s="198" t="e">
        <f t="shared" si="105"/>
        <v>#N/A</v>
      </c>
      <c r="HE17" s="198">
        <f t="shared" si="106"/>
        <v>120</v>
      </c>
      <c r="HF17" s="198">
        <f t="shared" si="106"/>
        <v>120</v>
      </c>
      <c r="HG17" s="198">
        <v>100</v>
      </c>
      <c r="HH17" s="198" t="e">
        <f t="shared" si="107"/>
        <v>#N/A</v>
      </c>
      <c r="HI17" s="198" t="e">
        <f t="shared" si="108"/>
        <v>#N/A</v>
      </c>
      <c r="HJ17" s="198" t="e">
        <f t="shared" si="109"/>
        <v>#N/A</v>
      </c>
      <c r="HK17" s="198" t="e">
        <f t="shared" si="110"/>
        <v>#N/A</v>
      </c>
      <c r="HL17" s="198" t="e">
        <f t="shared" si="111"/>
        <v>#N/A</v>
      </c>
      <c r="HM17" s="198" t="e">
        <f t="shared" si="112"/>
        <v>#N/A</v>
      </c>
      <c r="HN17" s="241" t="e">
        <f>IF(H17="KP-TypJ",INDEX(TW!$O$168:$P$176,MATCH(V17,TW!$N$168:$N$176,0),MATCH(CJ17-0,TW!$O$167:$P$167,0)),IF(OR($H17="KP-11",$H17="KP-12"),$GQ17,$HM17+$GQ17))</f>
        <v>#N/A</v>
      </c>
    </row>
    <row r="18" spans="1:222" x14ac:dyDescent="0.25">
      <c r="A18" s="349"/>
      <c r="B18" s="350"/>
      <c r="C18" s="417"/>
      <c r="D18" s="350"/>
      <c r="E18" s="349"/>
      <c r="F18" s="350"/>
      <c r="G18" s="17"/>
      <c r="H18" s="420"/>
      <c r="I18" s="421"/>
      <c r="J18" s="421"/>
      <c r="K18" s="418"/>
      <c r="L18" s="418"/>
      <c r="M18" s="419"/>
      <c r="N18" s="10"/>
      <c r="O18" s="289"/>
      <c r="P18" s="290"/>
      <c r="Q18" s="13" t="s">
        <v>7</v>
      </c>
      <c r="R18" s="412"/>
      <c r="S18" s="413"/>
      <c r="T18" s="414"/>
      <c r="U18" s="415"/>
      <c r="V18" s="289"/>
      <c r="W18" s="290"/>
      <c r="X18" s="393" t="str">
        <f t="shared" si="7"/>
        <v/>
      </c>
      <c r="Y18" s="394"/>
      <c r="Z18" s="369"/>
      <c r="AA18" s="370"/>
      <c r="AB18" s="397"/>
      <c r="AC18" s="398"/>
      <c r="AD18" s="383"/>
      <c r="AE18" s="384"/>
      <c r="AF18" s="395"/>
      <c r="AG18" s="396"/>
      <c r="AH18" s="230"/>
      <c r="AI18" s="69" t="str">
        <f t="shared" si="8"/>
        <v/>
      </c>
      <c r="AJ18" s="18"/>
      <c r="AK18" s="349"/>
      <c r="AL18" s="350"/>
      <c r="AM18" s="349"/>
      <c r="AN18" s="350"/>
      <c r="AO18" s="318" t="str">
        <f>IF(AND(OR(H18="KP-8",H18="KP-10"),V18&gt;0),VLOOKUP(V18,'.'!$AO$32:$AQ$40,2,FALSE),"")</f>
        <v/>
      </c>
      <c r="AP18" s="319"/>
      <c r="AQ18" s="316" t="str">
        <f>IF(AND(OR(H18="KP-8",H18="KP-10"),V18&gt;0),VLOOKUP(V18,'.'!$AO$32:$AQ$40,3,FALSE),"")</f>
        <v/>
      </c>
      <c r="AR18" s="317"/>
      <c r="AS18" s="339" t="str">
        <f t="shared" si="9"/>
        <v/>
      </c>
      <c r="AT18" s="340"/>
      <c r="AU18" s="314"/>
      <c r="AV18" s="315"/>
      <c r="AW18" s="314"/>
      <c r="AX18" s="315"/>
      <c r="AY18" s="12"/>
      <c r="AZ18" s="291"/>
      <c r="BA18" s="292"/>
      <c r="BB18" s="292"/>
      <c r="BC18" s="293"/>
      <c r="BD18" s="5"/>
      <c r="BE18" s="5"/>
      <c r="BF18" s="128" t="str">
        <f t="shared" si="10"/>
        <v>-</v>
      </c>
      <c r="BG18" s="129" t="str">
        <f t="shared" si="11"/>
        <v>-</v>
      </c>
      <c r="BH18" s="130" t="str">
        <f t="shared" si="12"/>
        <v>-</v>
      </c>
      <c r="BI18" s="130" t="str">
        <f t="shared" si="13"/>
        <v>-</v>
      </c>
      <c r="BJ18" s="136"/>
      <c r="BK18" s="177" t="str">
        <f t="shared" si="14"/>
        <v>-</v>
      </c>
      <c r="BL18" s="136"/>
      <c r="BM18" s="143" t="str">
        <f t="shared" si="15"/>
        <v>-</v>
      </c>
      <c r="BN18" s="143" t="str">
        <f t="shared" si="16"/>
        <v>-</v>
      </c>
      <c r="BQ18" s="225" t="str">
        <f>IF($H18="","leer",VLOOKUP($H18,'.'!$AO$7:$AY$28,2,FALSE))</f>
        <v>leer</v>
      </c>
      <c r="BR18" s="225" t="str">
        <f>IF($H18="","leer",VLOOKUP($H18,'.'!$AO$7:$AY$28,3,FALSE))</f>
        <v>leer</v>
      </c>
      <c r="BS18" s="225" t="str">
        <f>IF($H18="","Dleer.",IF(OR(K18="QD43",K18="QD43q"),"TypQD43D.",IF(OR(K18="QD51",K18="QD51q"),"TypQD51D.",IF(AND($H18='.'!$AO$22,$K18="02"),"TypG02D.",VLOOKUP($H18,'.'!$AO$7:$AY$28,4,FALSE)))))</f>
        <v>Dleer.</v>
      </c>
      <c r="BT18" s="225" t="str">
        <f>IF($H18="","ITleer.",VLOOKUP($H18,'.'!$AO$7:$AY$28,5,FALSE))</f>
        <v>ITleer.</v>
      </c>
      <c r="BU18" s="225" t="str">
        <f>IF($AD18="(PUR)","TypPURIS.",IF($H18="","ISleer.",VLOOKUP($H18,'.'!$AO$7:$AY$28,6,FALSE)))</f>
        <v>ISleer.</v>
      </c>
      <c r="BV18" s="225" t="str">
        <f>IF($H18="","Fleer.",VLOOKUP($H18,'.'!$AO$7:$AY$28,7,FALSE))</f>
        <v>Fleer.</v>
      </c>
      <c r="BW18" s="225" t="str">
        <f>IF($H18="","leer",IF(AH18&lt;T18*100+220,"leer",VLOOKUP($H18,'.'!$AO$7:$AY$28,8,FALSE)))</f>
        <v>leer</v>
      </c>
      <c r="BX18" s="225" t="str">
        <f>IF($H18="","leer",VLOOKUP($H18,'.'!$AO$7:$AY$28,9,FALSE))</f>
        <v>leer</v>
      </c>
      <c r="BY18" s="225" t="str">
        <f>IF($H18="","leer",VLOOKUP($H18,'.'!$AO$7:$AY$28,10,FALSE))</f>
        <v>leer</v>
      </c>
      <c r="BZ18" s="226" t="e">
        <f>INDEX('.'!$AP$43:$BA$53,MATCH(H18,'.'!$AO$43:$AO$53,0),MATCH(K18,'.'!$AP$42:$BA$42,0))</f>
        <v>#N/A</v>
      </c>
      <c r="CA18" s="225" t="str">
        <f>IF($H18="","leer",VLOOKUP($H18,'.'!$AO$7:$AY$28,11,FALSE))</f>
        <v>leer</v>
      </c>
      <c r="CB18" s="225" t="e">
        <f>INDEX('.'!$AP$56:$BA$66,MATCH(H18,'.'!$AO$56:$AO$66,0),MATCH(K18,'.'!$AP$55:$BA$55,0))</f>
        <v>#N/A</v>
      </c>
      <c r="CC18" s="225" t="str">
        <f>IF(OR($H18="",$H18="KP-TypB",$H18="KP-TypC",$H18="KP-TypD",$H18="KP-TypH",$H18="KP-TypJ",$H18="KP-TypK"),"leer",IF(OR($H18="KP-1",$H18="KPE-1",$H18="KP-3",$H18="KPE-3",$H18="KP-11",$H18="KP-12",$H18="KP-TypG"),VLOOKUP(O18,'.'!$BA$7:$BB$15,2,FALSE),IF(OR($H18="KP-2",$H18="KP-7"),VLOOKUP(O18,'.'!$BD$7:$BE$15,2,FALSE),"n0.")))</f>
        <v>leer</v>
      </c>
      <c r="CD18" s="227" t="e">
        <f>INDEX('.'!$AP$69:$BA$79,MATCH(H18,'.'!$AO$69:$AO$79,0),MATCH(K18,'.'!$AP$68:$BA$68,0))</f>
        <v>#N/A</v>
      </c>
      <c r="CF18" s="117" t="e">
        <f>VLOOKUP($H18,TW!$L$54:$M$72,TW!$M$54,FALSE)</f>
        <v>#N/A</v>
      </c>
      <c r="CG18" s="117">
        <f t="shared" si="17"/>
        <v>0</v>
      </c>
      <c r="CH18" s="118">
        <f t="shared" si="18"/>
        <v>0</v>
      </c>
      <c r="CI18" s="118">
        <f t="shared" si="1"/>
        <v>0</v>
      </c>
      <c r="CJ18" s="117">
        <f t="shared" si="19"/>
        <v>0</v>
      </c>
      <c r="CK18" s="117" t="str">
        <f t="shared" si="20"/>
        <v>ø0-0</v>
      </c>
      <c r="CL18" s="122" t="b">
        <f>IF($H18="KP-1",INDEX(TW!$B$54:$J$63,MATCH($CI18,TW!$B$54:$B$63,0),MATCH($CK18,TW!$B$54:$J$54,0)),IF($H18="KPE-1",INDEX(TW!$B$66:$J$74,MATCH($CI18,TW!$B$66:$B$74,0),MATCH($CK18,TW!$B$66:$J$66,0)),IF($H18="KP-3",INDEX(TW!$B$77:$J$86,MATCH($CI18,TW!$B$77:$B$86,0),MATCH($CK18,TW!$B$77:$J$77,0)),IF($H18="KPE-3",INDEX(TW!$B$89:$J$97,MATCH($CI18,TW!$B$89:$B$97,0),MATCH($CK18,TW!$B$89:$J$89,0)),IF(OR($H18="KP-2",$H18="KP-7"),INDEX(TW!$B$100:$V$109,MATCH($CI18,TW!$B$100:$B$109,0),MATCH($CK18,TW!$B$100:$V$100,0)),IF($H18="KP-10",INDEX(TW!$B$121:$F$130,MATCH($CI18,TW!$B$121:$B$130,0),MATCH($CJ18,TW!$B$121:$F$121,0)),IF($H18="KP-11",INDEX(TW!$B$133:$J$141,MATCH($CI18,TW!$B$133:$B$141,0),MATCH($CK18,TW!$B$133:$J$133,0)),IF($H18="KP-12",INDEX(TW!$B$144:$J$152,MATCH($CI18,TW!$B$144:$B$152,0),MATCH($CK18,TW!$B$144:$J$144,0))))))))))</f>
        <v>0</v>
      </c>
      <c r="CM18" s="117" t="e">
        <f>VLOOKUP($CH18,TW!$B$112:$C$118,TW!$C$113,FALSE)</f>
        <v>#N/A</v>
      </c>
      <c r="CN18" s="235">
        <f t="shared" si="21"/>
        <v>0</v>
      </c>
      <c r="CO18" s="122">
        <f t="shared" si="22"/>
        <v>1</v>
      </c>
      <c r="CP18" s="122" t="e">
        <f>$CL18*(VLOOKUP($CH18,TW!$B$112:$D$118,TW!$D$113,FALSE)/INDEX(TW!$F$112:$J$117,MATCH($CH18,TW!$F$112:$F$117,0),MATCH($CJ18,TW!$F$112:$J$112,0)))</f>
        <v>#N/A</v>
      </c>
      <c r="CQ18" s="122" t="b">
        <f t="shared" si="23"/>
        <v>0</v>
      </c>
      <c r="CR18" s="122" t="str">
        <f t="shared" si="24"/>
        <v>leer</v>
      </c>
      <c r="CS18" s="122">
        <f>IF(H18="KP-12",INDEX(TW!$H$42:$L$50,MATCH($CY18,TW!$B$42:$B$50,0),MATCH($CZ18,TW!$B$42:$F$42,0)),0)</f>
        <v>0</v>
      </c>
      <c r="CT18" s="122">
        <f t="shared" si="25"/>
        <v>-60</v>
      </c>
      <c r="CU18" s="122">
        <f t="shared" si="26"/>
        <v>0</v>
      </c>
      <c r="CV18" s="122" t="str">
        <f>IF(H18="KP-TypJ",INDEX(TW!$K$168:$L$176,MATCH(V18,TW!$H$156:$H$164,0),MATCH(AF18-0,TW!$K$167:$L$167,0)),IF($H18="KP-7",$CG18*$CR18,IF(OR($H18="KP-9",$H18="KPE-9"),999,IF(ISNUMBER($CL18),$CL18*$CG18-$CU18,"-"))))</f>
        <v>-</v>
      </c>
      <c r="CW18" s="101" t="e">
        <f>VLOOKUP($H18,TW!$H$13:$I$30,TW!$I$13,FALSE)</f>
        <v>#N/A</v>
      </c>
      <c r="CX18" s="102" t="str">
        <f t="shared" si="27"/>
        <v>leer</v>
      </c>
      <c r="CY18" s="102">
        <f t="shared" si="28"/>
        <v>-60</v>
      </c>
      <c r="CZ18" s="102">
        <f t="shared" si="2"/>
        <v>0</v>
      </c>
      <c r="DA18" s="115" t="e">
        <f>IF($H18="KP-6",INDEX(TW!$B$25:$F$27,MATCH($CY18,TW!$B$25:$B$27,0),MATCH($CZ18,TW!$B$25:$F$25,0)),IF(OR($H18="KP-8",$H18="KP-10"),INDEX(TW!$B$30:$F$39,MATCH($CY18,TW!$B$30:$B$39,0),MATCH($CZ18,TW!$B$30:$F$30,0)),IF(OR($H18="KP-11",$H18="KP-12"),INDEX(TW!$B$42:$F$50,MATCH($CY18,TW!$B$42:$B$50,0),MATCH($CZ18,TW!$B$42:$F$42,0)),INDEX(TW!$B$13:$F$22,MATCH($CY18,TW!$B$13:$B$22,0),MATCH($CZ18,TW!$B$13:$F$13,0)))))</f>
        <v>#N/A</v>
      </c>
      <c r="DB18" s="115" t="str">
        <f>IF(AND(NOT(CZ18=0),OR(K18="QD43",K18="QD43q",K18="QD51",K18="QD51q")),INDEX(TW!$C$156:$F$164,MATCH(V18,TW!$B$156:$B$164,0),MATCH(K18,TW!$C$155:$F$155,0)),IF(AND(ISNUMBER($CX18),ISNUMBER($DA18)),$CX18*$DA18,"-"))</f>
        <v>-</v>
      </c>
      <c r="DC18" s="236" t="str">
        <f t="shared" si="29"/>
        <v>leer</v>
      </c>
      <c r="DD18" s="236" t="str">
        <f t="shared" si="4"/>
        <v>leer</v>
      </c>
      <c r="DE18" s="236" t="e">
        <f>VLOOKUP($DD18,TW!$B$4:$H$9,TW!$H$4,FALSE)</f>
        <v>#N/A</v>
      </c>
      <c r="DF18" s="237">
        <f t="shared" si="30"/>
        <v>0</v>
      </c>
      <c r="DG18" s="82">
        <f t="shared" si="31"/>
        <v>1</v>
      </c>
      <c r="DH18" s="82" t="e">
        <f>VLOOKUP($DD18,TW!$B$4:$H$9,TW!$G$4,FALSE)</f>
        <v>#N/A</v>
      </c>
      <c r="DI18" s="236" t="str">
        <f>IF($AF18="","leer",IF($AF18=60,VLOOKUP($DD18,TW!$B$4:$H$9,TW!$C$4,FALSE),IF($AF18=80,VLOOKUP($DD18,TW!$B$4:$H$9,TW!$D$4,FALSE),IF($AF18=100,VLOOKUP($DD18,TW!$B$4:$H$9,TW!$E$4,FALSE),IF($AF18=120,VLOOKUP($DD18,TW!$B$4:$H$9,TW!$F$4,FALSE),"")))))</f>
        <v>leer</v>
      </c>
      <c r="DJ18" s="82" t="str">
        <f t="shared" si="32"/>
        <v>leer</v>
      </c>
      <c r="DK18" s="82" t="e">
        <f>IF(H18="KP-TypH",INDEX(TW!$C$168:$D$176,MATCH(V18,TW!$B$168:$B$176,0),MATCH(CJ18-0,TW!$C$167:$D$167,0)),IF(H18="KP-TypJ",INDEX(TW!$G$168:$H$176,MATCH(V18,TW!$F$168:$F$176,0),MATCH(CJ18-0,TW!$G$167:$H$167,0)),$DJ18*$DC18))</f>
        <v>#VALUE!</v>
      </c>
      <c r="DL18" s="77" t="str">
        <f>IF(AND(NOT(CZ18=0),OR(K18="QD43",K18="QD43q",K18="QD51",K18="QD51q")),INDEX(TW!$I$156:$L$164,MATCH(V18,TW!$H$156:$H$164,0),MATCH(K18,TW!$I$155:$L$155,0)),IF(OR(AND($H18="KP-TypG",$K18="02")),100,IF(OR($AU18="x",AND($H18="KP-TypG",$K18="01")),50,"-")))</f>
        <v>-</v>
      </c>
      <c r="DN18" s="171">
        <f t="shared" si="33"/>
        <v>0</v>
      </c>
      <c r="DO18" s="238">
        <f>IF(ISBLANK($AD18),0,INDEX(BP!$B$3:$C$8,MATCH($AD18,BP!$B$3:$B$8,0),2))</f>
        <v>0</v>
      </c>
      <c r="DP18" s="170">
        <f t="shared" si="34"/>
        <v>0</v>
      </c>
      <c r="DQ18" s="163">
        <f t="shared" si="35"/>
        <v>0</v>
      </c>
      <c r="DR18" s="163">
        <f t="shared" si="36"/>
        <v>0</v>
      </c>
      <c r="DS18" s="169">
        <f>INDEX(BP!$B$3:$C$8,6,2)</f>
        <v>0.17499999999999999</v>
      </c>
      <c r="DT18" s="162">
        <f t="shared" si="37"/>
        <v>0</v>
      </c>
      <c r="DU18" s="163">
        <f t="shared" si="38"/>
        <v>0</v>
      </c>
      <c r="DV18" s="170">
        <f t="shared" si="39"/>
        <v>0</v>
      </c>
      <c r="DW18" s="170" t="e">
        <f>INDEX(BP!$B$12:$F$29,MATCH($H18,BP!$B$12:$B$29,0),3)</f>
        <v>#N/A</v>
      </c>
      <c r="DX18" s="170" t="e">
        <f>INDEX(BP!$B$12:$F$29,MATCH($H18,BP!$B$12:$B$29,0),4)</f>
        <v>#N/A</v>
      </c>
      <c r="DY18" s="169" t="e">
        <f t="shared" si="40"/>
        <v>#N/A</v>
      </c>
      <c r="DZ18" s="169" t="e">
        <f t="shared" si="41"/>
        <v>#N/A</v>
      </c>
      <c r="EA18" s="169" t="e">
        <f t="shared" si="42"/>
        <v>#N/A</v>
      </c>
      <c r="EB18" s="169" t="str">
        <f t="shared" si="43"/>
        <v>-</v>
      </c>
      <c r="EC18" s="169" t="e">
        <f t="shared" si="44"/>
        <v>#VALUE!</v>
      </c>
      <c r="ED18" s="169">
        <f>IF(OR(K18="QD43",K18="QD43q"),BP!$C$92,IF(OR(K18="QD51",K18="QD51q"),BP!$C$94,15))</f>
        <v>15</v>
      </c>
      <c r="EE18" s="163">
        <f>IF(OR(K18="QD43",K18="QD43q"),BP!$D$92,IF(OR(K18="QD51",K18="QD51q"),BP!$D$94,IF($DV18=0,0,IF($DW18="SP",$EA18*$DV18,$DV18*$EC18))))</f>
        <v>0</v>
      </c>
      <c r="EF18" s="163">
        <f t="shared" si="45"/>
        <v>0</v>
      </c>
      <c r="EG18" s="169">
        <f t="shared" si="46"/>
        <v>0</v>
      </c>
      <c r="EH18" s="170">
        <f t="shared" si="47"/>
        <v>1100</v>
      </c>
      <c r="EI18" s="169">
        <v>15</v>
      </c>
      <c r="EJ18" s="162">
        <f t="shared" si="48"/>
        <v>0</v>
      </c>
      <c r="EK18" s="162">
        <f t="shared" si="49"/>
        <v>0</v>
      </c>
      <c r="EL18" s="169" t="b">
        <f t="shared" si="50"/>
        <v>0</v>
      </c>
      <c r="EM18" s="239" t="b">
        <f t="shared" si="51"/>
        <v>0</v>
      </c>
      <c r="EN18" s="169">
        <f t="shared" si="52"/>
        <v>0</v>
      </c>
      <c r="EO18" s="169" t="e">
        <f>INDEX(BP!$B$12:$F$29,MATCH($H18,BP!$B$12:$B$29,0),5)</f>
        <v>#N/A</v>
      </c>
      <c r="EP18" s="162">
        <f t="shared" si="53"/>
        <v>0</v>
      </c>
      <c r="EQ18" s="162" t="e">
        <f t="shared" si="54"/>
        <v>#N/A</v>
      </c>
      <c r="ER18" s="169" t="e">
        <f>INDEX(BP!$B$12:$F$29,MATCH($H18,BP!$B$12:$B$29,0),2)</f>
        <v>#N/A</v>
      </c>
      <c r="ES18" s="169" t="str">
        <f>IF(OR($H18="KP-1",$H18="KPE-1",$H18="KP-11"),INDEX(BP!$B$32:$F$41,MATCH($V18,BP!$B$32:$B$41,0),MATCH($AF18,BP!$B$32:$F$32,0)),IF(OR($H18="KP-3",$H18="KPE-3"),INDEX(BP!$B$44:$F$53,MATCH($V18,BP!$B$44:$B$53,0),MATCH($AF18,BP!$B$44:$F$44,0)),"DS"))</f>
        <v>DS</v>
      </c>
      <c r="ET18" s="169" t="b">
        <f t="shared" si="55"/>
        <v>0</v>
      </c>
      <c r="EU18" s="169" t="e">
        <f>INDEX(BP!$B$64:$D$66,MATCH($EM18,BP!$B$64:$B$66,0),2)</f>
        <v>#N/A</v>
      </c>
      <c r="EV18" s="169" t="e">
        <f>IF($H18="KP-11",INDEX(BP!$B$64:$D$74,MATCH($K18,BP!$B$64:$B$74,0),3),$ET18*$EU18)</f>
        <v>#N/A</v>
      </c>
      <c r="EW18" s="169" t="e">
        <f>INDEX(BP!$B$57:$D$60,MATCH($ES18,BP!$B$57:$B$60,0),3)</f>
        <v>#N/A</v>
      </c>
      <c r="EX18" s="169" t="e">
        <f>INDEX(BP!$B$57:$D$60,MATCH($ES18,BP!$B$57:$B$60,0),2)</f>
        <v>#N/A</v>
      </c>
      <c r="EY18" s="163" t="e">
        <f t="shared" si="56"/>
        <v>#N/A</v>
      </c>
      <c r="EZ18" s="163" t="e">
        <f t="shared" si="57"/>
        <v>#N/A</v>
      </c>
      <c r="FA18" s="158" t="b">
        <f t="shared" si="58"/>
        <v>0</v>
      </c>
      <c r="FB18" s="158">
        <f t="shared" si="59"/>
        <v>0</v>
      </c>
      <c r="FC18" s="159">
        <f t="shared" si="60"/>
        <v>0</v>
      </c>
      <c r="FE18" s="240">
        <f t="shared" si="61"/>
        <v>0</v>
      </c>
      <c r="FF18" s="240">
        <f t="shared" si="62"/>
        <v>0</v>
      </c>
      <c r="FG18" s="198" t="str">
        <f t="shared" si="63"/>
        <v>-</v>
      </c>
      <c r="FH18" s="198" t="str">
        <f t="shared" si="64"/>
        <v>-</v>
      </c>
      <c r="FI18" s="198" t="b">
        <f t="shared" si="65"/>
        <v>0</v>
      </c>
      <c r="FJ18" s="198" t="str">
        <f t="shared" si="66"/>
        <v>DS</v>
      </c>
      <c r="FK18" s="198" t="b">
        <f t="shared" si="67"/>
        <v>0</v>
      </c>
      <c r="FL18" s="198" t="str">
        <f t="shared" si="68"/>
        <v>-</v>
      </c>
      <c r="FM18" s="241" t="e">
        <f t="shared" si="69"/>
        <v>#VALUE!</v>
      </c>
      <c r="FN18" s="198">
        <f t="shared" si="70"/>
        <v>170000</v>
      </c>
      <c r="FO18" s="198" t="b">
        <f t="shared" si="71"/>
        <v>0</v>
      </c>
      <c r="FP18" s="198" t="str">
        <f t="shared" si="72"/>
        <v>-</v>
      </c>
      <c r="FQ18" s="198" t="str">
        <f t="shared" si="73"/>
        <v>-</v>
      </c>
      <c r="FR18" s="198">
        <f t="shared" si="74"/>
        <v>0</v>
      </c>
      <c r="FS18" s="198">
        <f t="shared" si="75"/>
        <v>0</v>
      </c>
      <c r="FT18" s="198">
        <f t="shared" si="76"/>
        <v>565.21739130434787</v>
      </c>
      <c r="FU18" s="242" t="e">
        <f>IF($FJ18="DS",INDEX(BP!$B$77:$F$87,MATCH($FI18,BP!$B$77:$B$87,0),MATCH($FF18,BP!$B$77:$F$77,0)),INDEX(BP!$B$77:$F$87,MATCH($FJ18,BP!$B$77:$B$87,0),MATCH($FF18,BP!$B$77:$F$77,0)))</f>
        <v>#N/A</v>
      </c>
      <c r="FV18" s="198" t="e">
        <f t="shared" si="77"/>
        <v>#N/A</v>
      </c>
      <c r="FW18" s="198">
        <f t="shared" si="78"/>
        <v>170000</v>
      </c>
      <c r="FX18" s="198">
        <v>20</v>
      </c>
      <c r="FY18" s="198">
        <v>35000</v>
      </c>
      <c r="FZ18" s="198">
        <v>1</v>
      </c>
      <c r="GA18" s="198" t="e">
        <f t="shared" si="79"/>
        <v>#VALUE!</v>
      </c>
      <c r="GB18" s="198" t="e">
        <f t="shared" si="80"/>
        <v>#VALUE!</v>
      </c>
      <c r="GC18" s="198" t="e">
        <f t="shared" si="81"/>
        <v>#VALUE!</v>
      </c>
      <c r="GD18" s="240">
        <f t="shared" si="82"/>
        <v>0</v>
      </c>
      <c r="GE18" s="242" t="e">
        <f t="shared" si="83"/>
        <v>#VALUE!</v>
      </c>
      <c r="GF18" s="242" t="e">
        <f t="shared" si="84"/>
        <v>#VALUE!</v>
      </c>
      <c r="GG18" s="242" t="e">
        <f t="shared" si="85"/>
        <v>#VALUE!</v>
      </c>
      <c r="GH18" s="243" t="e">
        <f t="shared" si="86"/>
        <v>#VALUE!</v>
      </c>
      <c r="GI18" s="243" t="e">
        <f t="shared" si="87"/>
        <v>#VALUE!</v>
      </c>
      <c r="GJ18" s="243" t="e">
        <f t="shared" si="88"/>
        <v>#VALUE!</v>
      </c>
      <c r="GK18" s="240">
        <f t="shared" si="89"/>
        <v>0</v>
      </c>
      <c r="GL18" s="198">
        <f t="shared" si="90"/>
        <v>0</v>
      </c>
      <c r="GM18" s="198">
        <f t="shared" si="91"/>
        <v>0</v>
      </c>
      <c r="GN18" s="240" t="e">
        <f t="shared" si="92"/>
        <v>#VALUE!</v>
      </c>
      <c r="GO18" s="243" t="e">
        <f t="shared" si="93"/>
        <v>#VALUE!</v>
      </c>
      <c r="GP18" s="198" t="e">
        <f t="shared" si="94"/>
        <v>#VALUE!</v>
      </c>
      <c r="GQ18" s="244" t="e">
        <f t="shared" si="95"/>
        <v>#VALUE!</v>
      </c>
      <c r="GR18" s="199" t="e">
        <f t="shared" si="96"/>
        <v>#N/A</v>
      </c>
      <c r="GS18" s="198" t="e">
        <f t="shared" si="97"/>
        <v>#N/A</v>
      </c>
      <c r="GT18" s="198" t="e">
        <f t="shared" si="98"/>
        <v>#N/A</v>
      </c>
      <c r="GU18" s="198" t="e">
        <f t="shared" si="99"/>
        <v>#N/A</v>
      </c>
      <c r="GV18" s="245">
        <f t="shared" si="100"/>
        <v>0</v>
      </c>
      <c r="GW18" s="198">
        <v>170000</v>
      </c>
      <c r="GX18" s="198">
        <v>8</v>
      </c>
      <c r="GY18" s="198">
        <f t="shared" si="101"/>
        <v>50.26548245743669</v>
      </c>
      <c r="GZ18" s="198" t="e">
        <f t="shared" si="102"/>
        <v>#N/A</v>
      </c>
      <c r="HA18" s="198">
        <v>1</v>
      </c>
      <c r="HB18" s="198" t="e">
        <f t="shared" si="103"/>
        <v>#N/A</v>
      </c>
      <c r="HC18" s="198" t="e">
        <f t="shared" si="104"/>
        <v>#N/A</v>
      </c>
      <c r="HD18" s="198" t="e">
        <f t="shared" si="105"/>
        <v>#N/A</v>
      </c>
      <c r="HE18" s="198">
        <f t="shared" si="106"/>
        <v>120</v>
      </c>
      <c r="HF18" s="198">
        <f t="shared" si="106"/>
        <v>120</v>
      </c>
      <c r="HG18" s="198">
        <v>100</v>
      </c>
      <c r="HH18" s="198" t="e">
        <f t="shared" si="107"/>
        <v>#N/A</v>
      </c>
      <c r="HI18" s="198" t="e">
        <f t="shared" si="108"/>
        <v>#N/A</v>
      </c>
      <c r="HJ18" s="198" t="e">
        <f t="shared" si="109"/>
        <v>#N/A</v>
      </c>
      <c r="HK18" s="198" t="e">
        <f t="shared" si="110"/>
        <v>#N/A</v>
      </c>
      <c r="HL18" s="198" t="e">
        <f t="shared" si="111"/>
        <v>#N/A</v>
      </c>
      <c r="HM18" s="198" t="e">
        <f t="shared" si="112"/>
        <v>#N/A</v>
      </c>
      <c r="HN18" s="241" t="e">
        <f>IF(H18="KP-TypJ",INDEX(TW!$O$168:$P$176,MATCH(V18,TW!$N$168:$N$176,0),MATCH(CJ18-0,TW!$O$167:$P$167,0)),IF(OR($H18="KP-11",$H18="KP-12"),$GQ18,$HM18+$GQ18))</f>
        <v>#N/A</v>
      </c>
    </row>
    <row r="19" spans="1:222" x14ac:dyDescent="0.25">
      <c r="A19" s="349"/>
      <c r="B19" s="350"/>
      <c r="C19" s="417"/>
      <c r="D19" s="350"/>
      <c r="E19" s="349"/>
      <c r="F19" s="350"/>
      <c r="G19" s="17"/>
      <c r="H19" s="420"/>
      <c r="I19" s="421"/>
      <c r="J19" s="421"/>
      <c r="K19" s="418"/>
      <c r="L19" s="418"/>
      <c r="M19" s="419"/>
      <c r="N19" s="10"/>
      <c r="O19" s="289"/>
      <c r="P19" s="290"/>
      <c r="Q19" s="13" t="s">
        <v>7</v>
      </c>
      <c r="R19" s="412"/>
      <c r="S19" s="413"/>
      <c r="T19" s="414"/>
      <c r="U19" s="415"/>
      <c r="V19" s="289"/>
      <c r="W19" s="290"/>
      <c r="X19" s="393" t="str">
        <f t="shared" si="7"/>
        <v/>
      </c>
      <c r="Y19" s="394"/>
      <c r="Z19" s="369"/>
      <c r="AA19" s="370"/>
      <c r="AB19" s="397"/>
      <c r="AC19" s="398"/>
      <c r="AD19" s="383"/>
      <c r="AE19" s="384"/>
      <c r="AF19" s="395"/>
      <c r="AG19" s="396"/>
      <c r="AH19" s="230"/>
      <c r="AI19" s="69" t="str">
        <f t="shared" si="8"/>
        <v/>
      </c>
      <c r="AJ19" s="18"/>
      <c r="AK19" s="349"/>
      <c r="AL19" s="350"/>
      <c r="AM19" s="349"/>
      <c r="AN19" s="350"/>
      <c r="AO19" s="318" t="str">
        <f>IF(AND(OR(H19="KP-8",H19="KP-10"),V19&gt;0),VLOOKUP(V19,'.'!$AO$32:$AQ$40,2,FALSE),"")</f>
        <v/>
      </c>
      <c r="AP19" s="319"/>
      <c r="AQ19" s="316" t="str">
        <f>IF(AND(OR(H19="KP-8",H19="KP-10"),V19&gt;0),VLOOKUP(V19,'.'!$AO$32:$AQ$40,3,FALSE),"")</f>
        <v/>
      </c>
      <c r="AR19" s="317"/>
      <c r="AS19" s="339" t="str">
        <f t="shared" si="9"/>
        <v/>
      </c>
      <c r="AT19" s="340"/>
      <c r="AU19" s="314"/>
      <c r="AV19" s="315"/>
      <c r="AW19" s="314"/>
      <c r="AX19" s="315"/>
      <c r="AY19" s="12"/>
      <c r="AZ19" s="291"/>
      <c r="BA19" s="292"/>
      <c r="BB19" s="292"/>
      <c r="BC19" s="293"/>
      <c r="BD19" s="5"/>
      <c r="BE19" s="5"/>
      <c r="BF19" s="128" t="str">
        <f t="shared" si="10"/>
        <v>-</v>
      </c>
      <c r="BG19" s="129" t="str">
        <f t="shared" si="11"/>
        <v>-</v>
      </c>
      <c r="BH19" s="130" t="str">
        <f t="shared" si="12"/>
        <v>-</v>
      </c>
      <c r="BI19" s="130" t="str">
        <f t="shared" si="13"/>
        <v>-</v>
      </c>
      <c r="BJ19" s="136"/>
      <c r="BK19" s="177" t="str">
        <f t="shared" si="14"/>
        <v>-</v>
      </c>
      <c r="BL19" s="136"/>
      <c r="BM19" s="143" t="str">
        <f t="shared" si="15"/>
        <v>-</v>
      </c>
      <c r="BN19" s="143" t="str">
        <f t="shared" si="16"/>
        <v>-</v>
      </c>
      <c r="BQ19" s="225" t="str">
        <f>IF($H19="","leer",VLOOKUP($H19,'.'!$AO$7:$AY$28,2,FALSE))</f>
        <v>leer</v>
      </c>
      <c r="BR19" s="225" t="str">
        <f>IF($H19="","leer",VLOOKUP($H19,'.'!$AO$7:$AY$28,3,FALSE))</f>
        <v>leer</v>
      </c>
      <c r="BS19" s="225" t="str">
        <f>IF($H19="","Dleer.",IF(OR(K19="QD43",K19="QD43q"),"TypQD43D.",IF(OR(K19="QD51",K19="QD51q"),"TypQD51D.",IF(AND($H19='.'!$AO$22,$K19="02"),"TypG02D.",VLOOKUP($H19,'.'!$AO$7:$AY$28,4,FALSE)))))</f>
        <v>Dleer.</v>
      </c>
      <c r="BT19" s="225" t="str">
        <f>IF($H19="","ITleer.",VLOOKUP($H19,'.'!$AO$7:$AY$28,5,FALSE))</f>
        <v>ITleer.</v>
      </c>
      <c r="BU19" s="225" t="str">
        <f>IF($AD19="(PUR)","TypPURIS.",IF($H19="","ISleer.",VLOOKUP($H19,'.'!$AO$7:$AY$28,6,FALSE)))</f>
        <v>ISleer.</v>
      </c>
      <c r="BV19" s="225" t="str">
        <f>IF($H19="","Fleer.",VLOOKUP($H19,'.'!$AO$7:$AY$28,7,FALSE))</f>
        <v>Fleer.</v>
      </c>
      <c r="BW19" s="225" t="str">
        <f>IF($H19="","leer",IF(AH19&lt;T19*100+220,"leer",VLOOKUP($H19,'.'!$AO$7:$AY$28,8,FALSE)))</f>
        <v>leer</v>
      </c>
      <c r="BX19" s="225" t="str">
        <f>IF($H19="","leer",VLOOKUP($H19,'.'!$AO$7:$AY$28,9,FALSE))</f>
        <v>leer</v>
      </c>
      <c r="BY19" s="225" t="str">
        <f>IF($H19="","leer",VLOOKUP($H19,'.'!$AO$7:$AY$28,10,FALSE))</f>
        <v>leer</v>
      </c>
      <c r="BZ19" s="226" t="e">
        <f>INDEX('.'!$AP$43:$BA$53,MATCH(H19,'.'!$AO$43:$AO$53,0),MATCH(K19,'.'!$AP$42:$BA$42,0))</f>
        <v>#N/A</v>
      </c>
      <c r="CA19" s="225" t="str">
        <f>IF($H19="","leer",VLOOKUP($H19,'.'!$AO$7:$AY$28,11,FALSE))</f>
        <v>leer</v>
      </c>
      <c r="CB19" s="225" t="e">
        <f>INDEX('.'!$AP$56:$BA$66,MATCH(H19,'.'!$AO$56:$AO$66,0),MATCH(K19,'.'!$AP$55:$BA$55,0))</f>
        <v>#N/A</v>
      </c>
      <c r="CC19" s="225" t="str">
        <f>IF(OR($H19="",$H19="KP-TypB",$H19="KP-TypC",$H19="KP-TypD",$H19="KP-TypH",$H19="KP-TypJ",$H19="KP-TypK"),"leer",IF(OR($H19="KP-1",$H19="KPE-1",$H19="KP-3",$H19="KPE-3",$H19="KP-11",$H19="KP-12",$H19="KP-TypG"),VLOOKUP(O19,'.'!$BA$7:$BB$15,2,FALSE),IF(OR($H19="KP-2",$H19="KP-7"),VLOOKUP(O19,'.'!$BD$7:$BE$15,2,FALSE),"n0.")))</f>
        <v>leer</v>
      </c>
      <c r="CD19" s="227" t="e">
        <f>INDEX('.'!$AP$69:$BA$79,MATCH(H19,'.'!$AO$69:$AO$79,0),MATCH(K19,'.'!$AP$68:$BA$68,0))</f>
        <v>#N/A</v>
      </c>
      <c r="CF19" s="117" t="e">
        <f>VLOOKUP($H19,TW!$L$54:$M$72,TW!$M$54,FALSE)</f>
        <v>#N/A</v>
      </c>
      <c r="CG19" s="117">
        <f t="shared" si="17"/>
        <v>0</v>
      </c>
      <c r="CH19" s="118">
        <f t="shared" si="18"/>
        <v>0</v>
      </c>
      <c r="CI19" s="118">
        <f t="shared" si="1"/>
        <v>0</v>
      </c>
      <c r="CJ19" s="117">
        <f t="shared" si="19"/>
        <v>0</v>
      </c>
      <c r="CK19" s="117" t="str">
        <f t="shared" si="20"/>
        <v>ø0-0</v>
      </c>
      <c r="CL19" s="122" t="b">
        <f>IF($H19="KP-1",INDEX(TW!$B$54:$J$63,MATCH($CI19,TW!$B$54:$B$63,0),MATCH($CK19,TW!$B$54:$J$54,0)),IF($H19="KPE-1",INDEX(TW!$B$66:$J$74,MATCH($CI19,TW!$B$66:$B$74,0),MATCH($CK19,TW!$B$66:$J$66,0)),IF($H19="KP-3",INDEX(TW!$B$77:$J$86,MATCH($CI19,TW!$B$77:$B$86,0),MATCH($CK19,TW!$B$77:$J$77,0)),IF($H19="KPE-3",INDEX(TW!$B$89:$J$97,MATCH($CI19,TW!$B$89:$B$97,0),MATCH($CK19,TW!$B$89:$J$89,0)),IF(OR($H19="KP-2",$H19="KP-7"),INDEX(TW!$B$100:$V$109,MATCH($CI19,TW!$B$100:$B$109,0),MATCH($CK19,TW!$B$100:$V$100,0)),IF($H19="KP-10",INDEX(TW!$B$121:$F$130,MATCH($CI19,TW!$B$121:$B$130,0),MATCH($CJ19,TW!$B$121:$F$121,0)),IF($H19="KP-11",INDEX(TW!$B$133:$J$141,MATCH($CI19,TW!$B$133:$B$141,0),MATCH($CK19,TW!$B$133:$J$133,0)),IF($H19="KP-12",INDEX(TW!$B$144:$J$152,MATCH($CI19,TW!$B$144:$B$152,0),MATCH($CK19,TW!$B$144:$J$144,0))))))))))</f>
        <v>0</v>
      </c>
      <c r="CM19" s="117" t="e">
        <f>VLOOKUP($CH19,TW!$B$112:$C$118,TW!$C$113,FALSE)</f>
        <v>#N/A</v>
      </c>
      <c r="CN19" s="235">
        <f t="shared" si="21"/>
        <v>0</v>
      </c>
      <c r="CO19" s="122">
        <f t="shared" si="22"/>
        <v>1</v>
      </c>
      <c r="CP19" s="122" t="e">
        <f>$CL19*(VLOOKUP($CH19,TW!$B$112:$D$118,TW!$D$113,FALSE)/INDEX(TW!$F$112:$J$117,MATCH($CH19,TW!$F$112:$F$117,0),MATCH($CJ19,TW!$F$112:$J$112,0)))</f>
        <v>#N/A</v>
      </c>
      <c r="CQ19" s="122" t="b">
        <f t="shared" si="23"/>
        <v>0</v>
      </c>
      <c r="CR19" s="122" t="str">
        <f t="shared" si="24"/>
        <v>leer</v>
      </c>
      <c r="CS19" s="122">
        <f>IF(H19="KP-12",INDEX(TW!$H$42:$L$50,MATCH($CY19,TW!$B$42:$B$50,0),MATCH($CZ19,TW!$B$42:$F$42,0)),0)</f>
        <v>0</v>
      </c>
      <c r="CT19" s="122">
        <f t="shared" si="25"/>
        <v>-60</v>
      </c>
      <c r="CU19" s="122">
        <f t="shared" si="26"/>
        <v>0</v>
      </c>
      <c r="CV19" s="122" t="str">
        <f>IF(H19="KP-TypJ",INDEX(TW!$K$168:$L$176,MATCH(V19,TW!$H$156:$H$164,0),MATCH(AF19-0,TW!$K$167:$L$167,0)),IF($H19="KP-7",$CG19*$CR19,IF(OR($H19="KP-9",$H19="KPE-9"),999,IF(ISNUMBER($CL19),$CL19*$CG19-$CU19,"-"))))</f>
        <v>-</v>
      </c>
      <c r="CW19" s="101" t="e">
        <f>VLOOKUP($H19,TW!$H$13:$I$30,TW!$I$13,FALSE)</f>
        <v>#N/A</v>
      </c>
      <c r="CX19" s="102" t="str">
        <f t="shared" si="27"/>
        <v>leer</v>
      </c>
      <c r="CY19" s="102">
        <f t="shared" si="28"/>
        <v>-60</v>
      </c>
      <c r="CZ19" s="102">
        <f t="shared" si="2"/>
        <v>0</v>
      </c>
      <c r="DA19" s="115" t="e">
        <f>IF($H19="KP-6",INDEX(TW!$B$25:$F$27,MATCH($CY19,TW!$B$25:$B$27,0),MATCH($CZ19,TW!$B$25:$F$25,0)),IF(OR($H19="KP-8",$H19="KP-10"),INDEX(TW!$B$30:$F$39,MATCH($CY19,TW!$B$30:$B$39,0),MATCH($CZ19,TW!$B$30:$F$30,0)),IF(OR($H19="KP-11",$H19="KP-12"),INDEX(TW!$B$42:$F$50,MATCH($CY19,TW!$B$42:$B$50,0),MATCH($CZ19,TW!$B$42:$F$42,0)),INDEX(TW!$B$13:$F$22,MATCH($CY19,TW!$B$13:$B$22,0),MATCH($CZ19,TW!$B$13:$F$13,0)))))</f>
        <v>#N/A</v>
      </c>
      <c r="DB19" s="115" t="str">
        <f>IF(AND(NOT(CZ19=0),OR(K19="QD43",K19="QD43q",K19="QD51",K19="QD51q")),INDEX(TW!$C$156:$F$164,MATCH(V19,TW!$B$156:$B$164,0),MATCH(K19,TW!$C$155:$F$155,0)),IF(AND(ISNUMBER($CX19),ISNUMBER($DA19)),$CX19*$DA19,"-"))</f>
        <v>-</v>
      </c>
      <c r="DC19" s="236" t="str">
        <f t="shared" si="29"/>
        <v>leer</v>
      </c>
      <c r="DD19" s="236" t="str">
        <f t="shared" si="4"/>
        <v>leer</v>
      </c>
      <c r="DE19" s="236" t="e">
        <f>VLOOKUP($DD19,TW!$B$4:$H$9,TW!$H$4,FALSE)</f>
        <v>#N/A</v>
      </c>
      <c r="DF19" s="237">
        <f t="shared" si="30"/>
        <v>0</v>
      </c>
      <c r="DG19" s="82">
        <f t="shared" si="31"/>
        <v>1</v>
      </c>
      <c r="DH19" s="82" t="e">
        <f>VLOOKUP($DD19,TW!$B$4:$H$9,TW!$G$4,FALSE)</f>
        <v>#N/A</v>
      </c>
      <c r="DI19" s="236" t="str">
        <f>IF($AF19="","leer",IF($AF19=60,VLOOKUP($DD19,TW!$B$4:$H$9,TW!$C$4,FALSE),IF($AF19=80,VLOOKUP($DD19,TW!$B$4:$H$9,TW!$D$4,FALSE),IF($AF19=100,VLOOKUP($DD19,TW!$B$4:$H$9,TW!$E$4,FALSE),IF($AF19=120,VLOOKUP($DD19,TW!$B$4:$H$9,TW!$F$4,FALSE),"")))))</f>
        <v>leer</v>
      </c>
      <c r="DJ19" s="82" t="str">
        <f t="shared" si="32"/>
        <v>leer</v>
      </c>
      <c r="DK19" s="82" t="e">
        <f>IF(H19="KP-TypH",INDEX(TW!$C$168:$D$176,MATCH(V19,TW!$B$168:$B$176,0),MATCH(CJ19-0,TW!$C$167:$D$167,0)),IF(H19="KP-TypJ",INDEX(TW!$G$168:$H$176,MATCH(V19,TW!$F$168:$F$176,0),MATCH(CJ19-0,TW!$G$167:$H$167,0)),$DJ19*$DC19))</f>
        <v>#VALUE!</v>
      </c>
      <c r="DL19" s="77" t="str">
        <f>IF(AND(NOT(CZ19=0),OR(K19="QD43",K19="QD43q",K19="QD51",K19="QD51q")),INDEX(TW!$I$156:$L$164,MATCH(V19,TW!$H$156:$H$164,0),MATCH(K19,TW!$I$155:$L$155,0)),IF(OR(AND($H19="KP-TypG",$K19="02")),100,IF(OR($AU19="x",AND($H19="KP-TypG",$K19="01")),50,"-")))</f>
        <v>-</v>
      </c>
      <c r="DN19" s="171">
        <f t="shared" si="33"/>
        <v>0</v>
      </c>
      <c r="DO19" s="238">
        <f>IF(ISBLANK($AD19),0,INDEX(BP!$B$3:$C$8,MATCH($AD19,BP!$B$3:$B$8,0),2))</f>
        <v>0</v>
      </c>
      <c r="DP19" s="170">
        <f t="shared" si="34"/>
        <v>0</v>
      </c>
      <c r="DQ19" s="163">
        <f t="shared" si="35"/>
        <v>0</v>
      </c>
      <c r="DR19" s="163">
        <f t="shared" si="36"/>
        <v>0</v>
      </c>
      <c r="DS19" s="169">
        <f>INDEX(BP!$B$3:$C$8,6,2)</f>
        <v>0.17499999999999999</v>
      </c>
      <c r="DT19" s="162">
        <f t="shared" si="37"/>
        <v>0</v>
      </c>
      <c r="DU19" s="163">
        <f t="shared" si="38"/>
        <v>0</v>
      </c>
      <c r="DV19" s="170">
        <f t="shared" si="39"/>
        <v>0</v>
      </c>
      <c r="DW19" s="170" t="e">
        <f>INDEX(BP!$B$12:$F$29,MATCH($H19,BP!$B$12:$B$29,0),3)</f>
        <v>#N/A</v>
      </c>
      <c r="DX19" s="170" t="e">
        <f>INDEX(BP!$B$12:$F$29,MATCH($H19,BP!$B$12:$B$29,0),4)</f>
        <v>#N/A</v>
      </c>
      <c r="DY19" s="169" t="e">
        <f t="shared" si="40"/>
        <v>#N/A</v>
      </c>
      <c r="DZ19" s="169" t="e">
        <f t="shared" si="41"/>
        <v>#N/A</v>
      </c>
      <c r="EA19" s="169" t="e">
        <f t="shared" si="42"/>
        <v>#N/A</v>
      </c>
      <c r="EB19" s="169" t="str">
        <f t="shared" si="43"/>
        <v>-</v>
      </c>
      <c r="EC19" s="169" t="e">
        <f t="shared" si="44"/>
        <v>#VALUE!</v>
      </c>
      <c r="ED19" s="169">
        <f>IF(OR(K19="QD43",K19="QD43q"),BP!$C$92,IF(OR(K19="QD51",K19="QD51q"),BP!$C$94,15))</f>
        <v>15</v>
      </c>
      <c r="EE19" s="163">
        <f>IF(OR(K19="QD43",K19="QD43q"),BP!$D$92,IF(OR(K19="QD51",K19="QD51q"),BP!$D$94,IF($DV19=0,0,IF($DW19="SP",$EA19*$DV19,$DV19*$EC19))))</f>
        <v>0</v>
      </c>
      <c r="EF19" s="163">
        <f t="shared" si="45"/>
        <v>0</v>
      </c>
      <c r="EG19" s="169">
        <f t="shared" si="46"/>
        <v>0</v>
      </c>
      <c r="EH19" s="170">
        <f t="shared" si="47"/>
        <v>1100</v>
      </c>
      <c r="EI19" s="169">
        <v>15</v>
      </c>
      <c r="EJ19" s="162">
        <f t="shared" si="48"/>
        <v>0</v>
      </c>
      <c r="EK19" s="162">
        <f t="shared" si="49"/>
        <v>0</v>
      </c>
      <c r="EL19" s="169" t="b">
        <f t="shared" si="50"/>
        <v>0</v>
      </c>
      <c r="EM19" s="239" t="b">
        <f t="shared" si="51"/>
        <v>0</v>
      </c>
      <c r="EN19" s="169">
        <f t="shared" si="52"/>
        <v>0</v>
      </c>
      <c r="EO19" s="169" t="e">
        <f>INDEX(BP!$B$12:$F$29,MATCH($H19,BP!$B$12:$B$29,0),5)</f>
        <v>#N/A</v>
      </c>
      <c r="EP19" s="162">
        <f t="shared" si="53"/>
        <v>0</v>
      </c>
      <c r="EQ19" s="162" t="e">
        <f t="shared" si="54"/>
        <v>#N/A</v>
      </c>
      <c r="ER19" s="169" t="e">
        <f>INDEX(BP!$B$12:$F$29,MATCH($H19,BP!$B$12:$B$29,0),2)</f>
        <v>#N/A</v>
      </c>
      <c r="ES19" s="169" t="str">
        <f>IF(OR($H19="KP-1",$H19="KPE-1",$H19="KP-11"),INDEX(BP!$B$32:$F$41,MATCH($V19,BP!$B$32:$B$41,0),MATCH($AF19,BP!$B$32:$F$32,0)),IF(OR($H19="KP-3",$H19="KPE-3"),INDEX(BP!$B$44:$F$53,MATCH($V19,BP!$B$44:$B$53,0),MATCH($AF19,BP!$B$44:$F$44,0)),"DS"))</f>
        <v>DS</v>
      </c>
      <c r="ET19" s="169" t="b">
        <f t="shared" si="55"/>
        <v>0</v>
      </c>
      <c r="EU19" s="169" t="e">
        <f>INDEX(BP!$B$64:$D$66,MATCH($EM19,BP!$B$64:$B$66,0),2)</f>
        <v>#N/A</v>
      </c>
      <c r="EV19" s="169" t="e">
        <f>IF($H19="KP-11",INDEX(BP!$B$64:$D$74,MATCH($K19,BP!$B$64:$B$74,0),3),$ET19*$EU19)</f>
        <v>#N/A</v>
      </c>
      <c r="EW19" s="169" t="e">
        <f>INDEX(BP!$B$57:$D$60,MATCH($ES19,BP!$B$57:$B$60,0),3)</f>
        <v>#N/A</v>
      </c>
      <c r="EX19" s="169" t="e">
        <f>INDEX(BP!$B$57:$D$60,MATCH($ES19,BP!$B$57:$B$60,0),2)</f>
        <v>#N/A</v>
      </c>
      <c r="EY19" s="163" t="e">
        <f t="shared" si="56"/>
        <v>#N/A</v>
      </c>
      <c r="EZ19" s="163" t="e">
        <f t="shared" si="57"/>
        <v>#N/A</v>
      </c>
      <c r="FA19" s="158" t="b">
        <f t="shared" si="58"/>
        <v>0</v>
      </c>
      <c r="FB19" s="158">
        <f t="shared" si="59"/>
        <v>0</v>
      </c>
      <c r="FC19" s="159">
        <f t="shared" si="60"/>
        <v>0</v>
      </c>
      <c r="FE19" s="240">
        <f t="shared" si="61"/>
        <v>0</v>
      </c>
      <c r="FF19" s="240">
        <f t="shared" si="62"/>
        <v>0</v>
      </c>
      <c r="FG19" s="198" t="str">
        <f t="shared" si="63"/>
        <v>-</v>
      </c>
      <c r="FH19" s="198" t="str">
        <f t="shared" si="64"/>
        <v>-</v>
      </c>
      <c r="FI19" s="198" t="b">
        <f t="shared" si="65"/>
        <v>0</v>
      </c>
      <c r="FJ19" s="198" t="str">
        <f t="shared" si="66"/>
        <v>DS</v>
      </c>
      <c r="FK19" s="198" t="b">
        <f t="shared" si="67"/>
        <v>0</v>
      </c>
      <c r="FL19" s="198" t="str">
        <f t="shared" si="68"/>
        <v>-</v>
      </c>
      <c r="FM19" s="241" t="e">
        <f t="shared" si="69"/>
        <v>#VALUE!</v>
      </c>
      <c r="FN19" s="198">
        <f t="shared" si="70"/>
        <v>170000</v>
      </c>
      <c r="FO19" s="198" t="b">
        <f t="shared" si="71"/>
        <v>0</v>
      </c>
      <c r="FP19" s="198" t="str">
        <f t="shared" si="72"/>
        <v>-</v>
      </c>
      <c r="FQ19" s="198" t="str">
        <f t="shared" si="73"/>
        <v>-</v>
      </c>
      <c r="FR19" s="198">
        <f t="shared" si="74"/>
        <v>0</v>
      </c>
      <c r="FS19" s="198">
        <f t="shared" si="75"/>
        <v>0</v>
      </c>
      <c r="FT19" s="198">
        <f t="shared" si="76"/>
        <v>565.21739130434787</v>
      </c>
      <c r="FU19" s="242" t="e">
        <f>IF($FJ19="DS",INDEX(BP!$B$77:$F$87,MATCH($FI19,BP!$B$77:$B$87,0),MATCH($FF19,BP!$B$77:$F$77,0)),INDEX(BP!$B$77:$F$87,MATCH($FJ19,BP!$B$77:$B$87,0),MATCH($FF19,BP!$B$77:$F$77,0)))</f>
        <v>#N/A</v>
      </c>
      <c r="FV19" s="198" t="e">
        <f t="shared" si="77"/>
        <v>#N/A</v>
      </c>
      <c r="FW19" s="198">
        <f t="shared" si="78"/>
        <v>170000</v>
      </c>
      <c r="FX19" s="198">
        <v>20</v>
      </c>
      <c r="FY19" s="198">
        <v>35000</v>
      </c>
      <c r="FZ19" s="198">
        <v>1</v>
      </c>
      <c r="GA19" s="198" t="e">
        <f t="shared" si="79"/>
        <v>#VALUE!</v>
      </c>
      <c r="GB19" s="198" t="e">
        <f t="shared" si="80"/>
        <v>#VALUE!</v>
      </c>
      <c r="GC19" s="198" t="e">
        <f t="shared" si="81"/>
        <v>#VALUE!</v>
      </c>
      <c r="GD19" s="240">
        <f t="shared" si="82"/>
        <v>0</v>
      </c>
      <c r="GE19" s="242" t="e">
        <f t="shared" si="83"/>
        <v>#VALUE!</v>
      </c>
      <c r="GF19" s="242" t="e">
        <f t="shared" si="84"/>
        <v>#VALUE!</v>
      </c>
      <c r="GG19" s="242" t="e">
        <f t="shared" si="85"/>
        <v>#VALUE!</v>
      </c>
      <c r="GH19" s="243" t="e">
        <f t="shared" si="86"/>
        <v>#VALUE!</v>
      </c>
      <c r="GI19" s="243" t="e">
        <f t="shared" si="87"/>
        <v>#VALUE!</v>
      </c>
      <c r="GJ19" s="243" t="e">
        <f t="shared" si="88"/>
        <v>#VALUE!</v>
      </c>
      <c r="GK19" s="240">
        <f t="shared" si="89"/>
        <v>0</v>
      </c>
      <c r="GL19" s="198">
        <f t="shared" si="90"/>
        <v>0</v>
      </c>
      <c r="GM19" s="198">
        <f t="shared" si="91"/>
        <v>0</v>
      </c>
      <c r="GN19" s="240" t="e">
        <f t="shared" si="92"/>
        <v>#VALUE!</v>
      </c>
      <c r="GO19" s="243" t="e">
        <f t="shared" si="93"/>
        <v>#VALUE!</v>
      </c>
      <c r="GP19" s="198" t="e">
        <f t="shared" si="94"/>
        <v>#VALUE!</v>
      </c>
      <c r="GQ19" s="244" t="e">
        <f t="shared" si="95"/>
        <v>#VALUE!</v>
      </c>
      <c r="GR19" s="199" t="e">
        <f t="shared" si="96"/>
        <v>#N/A</v>
      </c>
      <c r="GS19" s="198" t="e">
        <f t="shared" si="97"/>
        <v>#N/A</v>
      </c>
      <c r="GT19" s="198" t="e">
        <f t="shared" si="98"/>
        <v>#N/A</v>
      </c>
      <c r="GU19" s="198" t="e">
        <f t="shared" si="99"/>
        <v>#N/A</v>
      </c>
      <c r="GV19" s="245">
        <f t="shared" si="100"/>
        <v>0</v>
      </c>
      <c r="GW19" s="198">
        <v>170000</v>
      </c>
      <c r="GX19" s="198">
        <v>8</v>
      </c>
      <c r="GY19" s="198">
        <f t="shared" si="101"/>
        <v>50.26548245743669</v>
      </c>
      <c r="GZ19" s="198" t="e">
        <f t="shared" si="102"/>
        <v>#N/A</v>
      </c>
      <c r="HA19" s="198">
        <v>1</v>
      </c>
      <c r="HB19" s="198" t="e">
        <f t="shared" si="103"/>
        <v>#N/A</v>
      </c>
      <c r="HC19" s="198" t="e">
        <f t="shared" si="104"/>
        <v>#N/A</v>
      </c>
      <c r="HD19" s="198" t="e">
        <f t="shared" si="105"/>
        <v>#N/A</v>
      </c>
      <c r="HE19" s="198">
        <f t="shared" si="106"/>
        <v>120</v>
      </c>
      <c r="HF19" s="198">
        <f t="shared" si="106"/>
        <v>120</v>
      </c>
      <c r="HG19" s="198">
        <v>100</v>
      </c>
      <c r="HH19" s="198" t="e">
        <f t="shared" si="107"/>
        <v>#N/A</v>
      </c>
      <c r="HI19" s="198" t="e">
        <f t="shared" si="108"/>
        <v>#N/A</v>
      </c>
      <c r="HJ19" s="198" t="e">
        <f t="shared" si="109"/>
        <v>#N/A</v>
      </c>
      <c r="HK19" s="198" t="e">
        <f t="shared" si="110"/>
        <v>#N/A</v>
      </c>
      <c r="HL19" s="198" t="e">
        <f t="shared" si="111"/>
        <v>#N/A</v>
      </c>
      <c r="HM19" s="198" t="e">
        <f t="shared" si="112"/>
        <v>#N/A</v>
      </c>
      <c r="HN19" s="241" t="e">
        <f>IF(H19="KP-TypJ",INDEX(TW!$O$168:$P$176,MATCH(V19,TW!$N$168:$N$176,0),MATCH(CJ19-0,TW!$O$167:$P$167,0)),IF(OR($H19="KP-11",$H19="KP-12"),$GQ19,$HM19+$GQ19))</f>
        <v>#N/A</v>
      </c>
    </row>
    <row r="20" spans="1:222" x14ac:dyDescent="0.25">
      <c r="A20" s="349"/>
      <c r="B20" s="350"/>
      <c r="C20" s="417"/>
      <c r="D20" s="350"/>
      <c r="E20" s="349"/>
      <c r="F20" s="350"/>
      <c r="G20" s="17"/>
      <c r="H20" s="420"/>
      <c r="I20" s="421"/>
      <c r="J20" s="421"/>
      <c r="K20" s="418"/>
      <c r="L20" s="418"/>
      <c r="M20" s="419"/>
      <c r="N20" s="10"/>
      <c r="O20" s="289"/>
      <c r="P20" s="290"/>
      <c r="Q20" s="13" t="s">
        <v>7</v>
      </c>
      <c r="R20" s="412"/>
      <c r="S20" s="413"/>
      <c r="T20" s="414"/>
      <c r="U20" s="415"/>
      <c r="V20" s="289"/>
      <c r="W20" s="290"/>
      <c r="X20" s="393" t="str">
        <f t="shared" si="7"/>
        <v/>
      </c>
      <c r="Y20" s="394"/>
      <c r="Z20" s="369"/>
      <c r="AA20" s="370"/>
      <c r="AB20" s="397"/>
      <c r="AC20" s="398"/>
      <c r="AD20" s="383"/>
      <c r="AE20" s="384"/>
      <c r="AF20" s="395"/>
      <c r="AG20" s="396"/>
      <c r="AH20" s="230"/>
      <c r="AI20" s="69" t="str">
        <f t="shared" si="8"/>
        <v/>
      </c>
      <c r="AJ20" s="18"/>
      <c r="AK20" s="349"/>
      <c r="AL20" s="350"/>
      <c r="AM20" s="349"/>
      <c r="AN20" s="350"/>
      <c r="AO20" s="318" t="str">
        <f>IF(AND(OR(H20="KP-8",H20="KP-10"),V20&gt;0),VLOOKUP(V20,'.'!$AO$32:$AQ$40,2,FALSE),"")</f>
        <v/>
      </c>
      <c r="AP20" s="319"/>
      <c r="AQ20" s="316" t="str">
        <f>IF(AND(OR(H20="KP-8",H20="KP-10"),V20&gt;0),VLOOKUP(V20,'.'!$AO$32:$AQ$40,3,FALSE),"")</f>
        <v/>
      </c>
      <c r="AR20" s="317"/>
      <c r="AS20" s="339" t="str">
        <f t="shared" si="9"/>
        <v/>
      </c>
      <c r="AT20" s="340"/>
      <c r="AU20" s="314"/>
      <c r="AV20" s="315"/>
      <c r="AW20" s="314"/>
      <c r="AX20" s="315"/>
      <c r="AY20" s="12"/>
      <c r="AZ20" s="291"/>
      <c r="BA20" s="292"/>
      <c r="BB20" s="292"/>
      <c r="BC20" s="293"/>
      <c r="BD20" s="5"/>
      <c r="BE20" s="5"/>
      <c r="BF20" s="128" t="str">
        <f t="shared" si="10"/>
        <v>-</v>
      </c>
      <c r="BG20" s="129" t="str">
        <f t="shared" si="11"/>
        <v>-</v>
      </c>
      <c r="BH20" s="130" t="str">
        <f t="shared" si="12"/>
        <v>-</v>
      </c>
      <c r="BI20" s="130" t="str">
        <f t="shared" si="13"/>
        <v>-</v>
      </c>
      <c r="BJ20" s="136"/>
      <c r="BK20" s="177" t="str">
        <f t="shared" si="14"/>
        <v>-</v>
      </c>
      <c r="BL20" s="136"/>
      <c r="BM20" s="143" t="str">
        <f t="shared" si="15"/>
        <v>-</v>
      </c>
      <c r="BN20" s="143" t="str">
        <f t="shared" si="16"/>
        <v>-</v>
      </c>
      <c r="BQ20" s="225" t="str">
        <f>IF($H20="","leer",VLOOKUP($H20,'.'!$AO$7:$AY$28,2,FALSE))</f>
        <v>leer</v>
      </c>
      <c r="BR20" s="225" t="str">
        <f>IF($H20="","leer",VLOOKUP($H20,'.'!$AO$7:$AY$28,3,FALSE))</f>
        <v>leer</v>
      </c>
      <c r="BS20" s="225" t="str">
        <f>IF($H20="","Dleer.",IF(OR(K20="QD43",K20="QD43q"),"TypQD43D.",IF(OR(K20="QD51",K20="QD51q"),"TypQD51D.",IF(AND($H20='.'!$AO$22,$K20="02"),"TypG02D.",VLOOKUP($H20,'.'!$AO$7:$AY$28,4,FALSE)))))</f>
        <v>Dleer.</v>
      </c>
      <c r="BT20" s="225" t="str">
        <f>IF($H20="","ITleer.",VLOOKUP($H20,'.'!$AO$7:$AY$28,5,FALSE))</f>
        <v>ITleer.</v>
      </c>
      <c r="BU20" s="225" t="str">
        <f>IF($AD20="(PUR)","TypPURIS.",IF($H20="","ISleer.",VLOOKUP($H20,'.'!$AO$7:$AY$28,6,FALSE)))</f>
        <v>ISleer.</v>
      </c>
      <c r="BV20" s="225" t="str">
        <f>IF($H20="","Fleer.",VLOOKUP($H20,'.'!$AO$7:$AY$28,7,FALSE))</f>
        <v>Fleer.</v>
      </c>
      <c r="BW20" s="225" t="str">
        <f>IF($H20="","leer",IF(AH20&lt;T20*100+220,"leer",VLOOKUP($H20,'.'!$AO$7:$AY$28,8,FALSE)))</f>
        <v>leer</v>
      </c>
      <c r="BX20" s="225" t="str">
        <f>IF($H20="","leer",VLOOKUP($H20,'.'!$AO$7:$AY$28,9,FALSE))</f>
        <v>leer</v>
      </c>
      <c r="BY20" s="225" t="str">
        <f>IF($H20="","leer",VLOOKUP($H20,'.'!$AO$7:$AY$28,10,FALSE))</f>
        <v>leer</v>
      </c>
      <c r="BZ20" s="226" t="e">
        <f>INDEX('.'!$AP$43:$BA$53,MATCH(H20,'.'!$AO$43:$AO$53,0),MATCH(K20,'.'!$AP$42:$BA$42,0))</f>
        <v>#N/A</v>
      </c>
      <c r="CA20" s="225" t="str">
        <f>IF($H20="","leer",VLOOKUP($H20,'.'!$AO$7:$AY$28,11,FALSE))</f>
        <v>leer</v>
      </c>
      <c r="CB20" s="225" t="e">
        <f>INDEX('.'!$AP$56:$BA$66,MATCH(H20,'.'!$AO$56:$AO$66,0),MATCH(K20,'.'!$AP$55:$BA$55,0))</f>
        <v>#N/A</v>
      </c>
      <c r="CC20" s="225" t="str">
        <f>IF(OR($H20="",$H20="KP-TypB",$H20="KP-TypC",$H20="KP-TypD",$H20="KP-TypH",$H20="KP-TypJ",$H20="KP-TypK"),"leer",IF(OR($H20="KP-1",$H20="KPE-1",$H20="KP-3",$H20="KPE-3",$H20="KP-11",$H20="KP-12",$H20="KP-TypG"),VLOOKUP(O20,'.'!$BA$7:$BB$15,2,FALSE),IF(OR($H20="KP-2",$H20="KP-7"),VLOOKUP(O20,'.'!$BD$7:$BE$15,2,FALSE),"n0.")))</f>
        <v>leer</v>
      </c>
      <c r="CD20" s="227" t="e">
        <f>INDEX('.'!$AP$69:$BA$79,MATCH(H20,'.'!$AO$69:$AO$79,0),MATCH(K20,'.'!$AP$68:$BA$68,0))</f>
        <v>#N/A</v>
      </c>
      <c r="CF20" s="117" t="e">
        <f>VLOOKUP($H20,TW!$L$54:$M$72,TW!$M$54,FALSE)</f>
        <v>#N/A</v>
      </c>
      <c r="CG20" s="117">
        <f t="shared" si="17"/>
        <v>0</v>
      </c>
      <c r="CH20" s="118">
        <f t="shared" si="18"/>
        <v>0</v>
      </c>
      <c r="CI20" s="118">
        <f t="shared" si="1"/>
        <v>0</v>
      </c>
      <c r="CJ20" s="117">
        <f t="shared" si="19"/>
        <v>0</v>
      </c>
      <c r="CK20" s="117" t="str">
        <f t="shared" si="20"/>
        <v>ø0-0</v>
      </c>
      <c r="CL20" s="122" t="b">
        <f>IF($H20="KP-1",INDEX(TW!$B$54:$J$63,MATCH($CI20,TW!$B$54:$B$63,0),MATCH($CK20,TW!$B$54:$J$54,0)),IF($H20="KPE-1",INDEX(TW!$B$66:$J$74,MATCH($CI20,TW!$B$66:$B$74,0),MATCH($CK20,TW!$B$66:$J$66,0)),IF($H20="KP-3",INDEX(TW!$B$77:$J$86,MATCH($CI20,TW!$B$77:$B$86,0),MATCH($CK20,TW!$B$77:$J$77,0)),IF($H20="KPE-3",INDEX(TW!$B$89:$J$97,MATCH($CI20,TW!$B$89:$B$97,0),MATCH($CK20,TW!$B$89:$J$89,0)),IF(OR($H20="KP-2",$H20="KP-7"),INDEX(TW!$B$100:$V$109,MATCH($CI20,TW!$B$100:$B$109,0),MATCH($CK20,TW!$B$100:$V$100,0)),IF($H20="KP-10",INDEX(TW!$B$121:$F$130,MATCH($CI20,TW!$B$121:$B$130,0),MATCH($CJ20,TW!$B$121:$F$121,0)),IF($H20="KP-11",INDEX(TW!$B$133:$J$141,MATCH($CI20,TW!$B$133:$B$141,0),MATCH($CK20,TW!$B$133:$J$133,0)),IF($H20="KP-12",INDEX(TW!$B$144:$J$152,MATCH($CI20,TW!$B$144:$B$152,0),MATCH($CK20,TW!$B$144:$J$144,0))))))))))</f>
        <v>0</v>
      </c>
      <c r="CM20" s="117" t="e">
        <f>VLOOKUP($CH20,TW!$B$112:$C$118,TW!$C$113,FALSE)</f>
        <v>#N/A</v>
      </c>
      <c r="CN20" s="235">
        <f t="shared" si="21"/>
        <v>0</v>
      </c>
      <c r="CO20" s="122">
        <f t="shared" si="22"/>
        <v>1</v>
      </c>
      <c r="CP20" s="122" t="e">
        <f>$CL20*(VLOOKUP($CH20,TW!$B$112:$D$118,TW!$D$113,FALSE)/INDEX(TW!$F$112:$J$117,MATCH($CH20,TW!$F$112:$F$117,0),MATCH($CJ20,TW!$F$112:$J$112,0)))</f>
        <v>#N/A</v>
      </c>
      <c r="CQ20" s="122" t="b">
        <f t="shared" si="23"/>
        <v>0</v>
      </c>
      <c r="CR20" s="122" t="str">
        <f t="shared" si="24"/>
        <v>leer</v>
      </c>
      <c r="CS20" s="122">
        <f>IF(H20="KP-12",INDEX(TW!$H$42:$L$50,MATCH($CY20,TW!$B$42:$B$50,0),MATCH($CZ20,TW!$B$42:$F$42,0)),0)</f>
        <v>0</v>
      </c>
      <c r="CT20" s="122">
        <f t="shared" si="25"/>
        <v>-60</v>
      </c>
      <c r="CU20" s="122">
        <f t="shared" si="26"/>
        <v>0</v>
      </c>
      <c r="CV20" s="122" t="str">
        <f>IF(H20="KP-TypJ",INDEX(TW!$K$168:$L$176,MATCH(V20,TW!$H$156:$H$164,0),MATCH(AF20-0,TW!$K$167:$L$167,0)),IF($H20="KP-7",$CG20*$CR20,IF(OR($H20="KP-9",$H20="KPE-9"),999,IF(ISNUMBER($CL20),$CL20*$CG20-$CU20,"-"))))</f>
        <v>-</v>
      </c>
      <c r="CW20" s="101" t="e">
        <f>VLOOKUP($H20,TW!$H$13:$I$30,TW!$I$13,FALSE)</f>
        <v>#N/A</v>
      </c>
      <c r="CX20" s="102" t="str">
        <f t="shared" si="27"/>
        <v>leer</v>
      </c>
      <c r="CY20" s="102">
        <f t="shared" si="28"/>
        <v>-60</v>
      </c>
      <c r="CZ20" s="102">
        <f t="shared" si="2"/>
        <v>0</v>
      </c>
      <c r="DA20" s="115" t="e">
        <f>IF($H20="KP-6",INDEX(TW!$B$25:$F$27,MATCH($CY20,TW!$B$25:$B$27,0),MATCH($CZ20,TW!$B$25:$F$25,0)),IF(OR($H20="KP-8",$H20="KP-10"),INDEX(TW!$B$30:$F$39,MATCH($CY20,TW!$B$30:$B$39,0),MATCH($CZ20,TW!$B$30:$F$30,0)),IF(OR($H20="KP-11",$H20="KP-12"),INDEX(TW!$B$42:$F$50,MATCH($CY20,TW!$B$42:$B$50,0),MATCH($CZ20,TW!$B$42:$F$42,0)),INDEX(TW!$B$13:$F$22,MATCH($CY20,TW!$B$13:$B$22,0),MATCH($CZ20,TW!$B$13:$F$13,0)))))</f>
        <v>#N/A</v>
      </c>
      <c r="DB20" s="115" t="str">
        <f>IF(AND(NOT(CZ20=0),OR(K20="QD43",K20="QD43q",K20="QD51",K20="QD51q")),INDEX(TW!$C$156:$F$164,MATCH(V20,TW!$B$156:$B$164,0),MATCH(K20,TW!$C$155:$F$155,0)),IF(AND(ISNUMBER($CX20),ISNUMBER($DA20)),$CX20*$DA20,"-"))</f>
        <v>-</v>
      </c>
      <c r="DC20" s="236" t="str">
        <f t="shared" si="29"/>
        <v>leer</v>
      </c>
      <c r="DD20" s="236" t="str">
        <f t="shared" si="4"/>
        <v>leer</v>
      </c>
      <c r="DE20" s="236" t="e">
        <f>VLOOKUP($DD20,TW!$B$4:$H$9,TW!$H$4,FALSE)</f>
        <v>#N/A</v>
      </c>
      <c r="DF20" s="237">
        <f t="shared" si="30"/>
        <v>0</v>
      </c>
      <c r="DG20" s="82">
        <f t="shared" si="31"/>
        <v>1</v>
      </c>
      <c r="DH20" s="82" t="e">
        <f>VLOOKUP($DD20,TW!$B$4:$H$9,TW!$G$4,FALSE)</f>
        <v>#N/A</v>
      </c>
      <c r="DI20" s="236" t="str">
        <f>IF($AF20="","leer",IF($AF20=60,VLOOKUP($DD20,TW!$B$4:$H$9,TW!$C$4,FALSE),IF($AF20=80,VLOOKUP($DD20,TW!$B$4:$H$9,TW!$D$4,FALSE),IF($AF20=100,VLOOKUP($DD20,TW!$B$4:$H$9,TW!$E$4,FALSE),IF($AF20=120,VLOOKUP($DD20,TW!$B$4:$H$9,TW!$F$4,FALSE),"")))))</f>
        <v>leer</v>
      </c>
      <c r="DJ20" s="82" t="str">
        <f t="shared" si="32"/>
        <v>leer</v>
      </c>
      <c r="DK20" s="82" t="e">
        <f>IF(H20="KP-TypH",INDEX(TW!$C$168:$D$176,MATCH(V20,TW!$B$168:$B$176,0),MATCH(CJ20-0,TW!$C$167:$D$167,0)),IF(H20="KP-TypJ",INDEX(TW!$G$168:$H$176,MATCH(V20,TW!$F$168:$F$176,0),MATCH(CJ20-0,TW!$G$167:$H$167,0)),$DJ20*$DC20))</f>
        <v>#VALUE!</v>
      </c>
      <c r="DL20" s="77" t="str">
        <f>IF(AND(NOT(CZ20=0),OR(K20="QD43",K20="QD43q",K20="QD51",K20="QD51q")),INDEX(TW!$I$156:$L$164,MATCH(V20,TW!$H$156:$H$164,0),MATCH(K20,TW!$I$155:$L$155,0)),IF(OR(AND($H20="KP-TypG",$K20="02")),100,IF(OR($AU20="x",AND($H20="KP-TypG",$K20="01")),50,"-")))</f>
        <v>-</v>
      </c>
      <c r="DN20" s="171">
        <f t="shared" si="33"/>
        <v>0</v>
      </c>
      <c r="DO20" s="238">
        <f>IF(ISBLANK($AD20),0,INDEX(BP!$B$3:$C$8,MATCH($AD20,BP!$B$3:$B$8,0),2))</f>
        <v>0</v>
      </c>
      <c r="DP20" s="170">
        <f t="shared" si="34"/>
        <v>0</v>
      </c>
      <c r="DQ20" s="163">
        <f t="shared" si="35"/>
        <v>0</v>
      </c>
      <c r="DR20" s="163">
        <f t="shared" si="36"/>
        <v>0</v>
      </c>
      <c r="DS20" s="169">
        <f>INDEX(BP!$B$3:$C$8,6,2)</f>
        <v>0.17499999999999999</v>
      </c>
      <c r="DT20" s="162">
        <f t="shared" si="37"/>
        <v>0</v>
      </c>
      <c r="DU20" s="163">
        <f t="shared" si="38"/>
        <v>0</v>
      </c>
      <c r="DV20" s="170">
        <f t="shared" si="39"/>
        <v>0</v>
      </c>
      <c r="DW20" s="170" t="e">
        <f>INDEX(BP!$B$12:$F$29,MATCH($H20,BP!$B$12:$B$29,0),3)</f>
        <v>#N/A</v>
      </c>
      <c r="DX20" s="170" t="e">
        <f>INDEX(BP!$B$12:$F$29,MATCH($H20,BP!$B$12:$B$29,0),4)</f>
        <v>#N/A</v>
      </c>
      <c r="DY20" s="169" t="e">
        <f t="shared" si="40"/>
        <v>#N/A</v>
      </c>
      <c r="DZ20" s="169" t="e">
        <f t="shared" si="41"/>
        <v>#N/A</v>
      </c>
      <c r="EA20" s="169" t="e">
        <f t="shared" si="42"/>
        <v>#N/A</v>
      </c>
      <c r="EB20" s="169" t="str">
        <f t="shared" si="43"/>
        <v>-</v>
      </c>
      <c r="EC20" s="169" t="e">
        <f t="shared" si="44"/>
        <v>#VALUE!</v>
      </c>
      <c r="ED20" s="169">
        <f>IF(OR(K20="QD43",K20="QD43q"),BP!$C$92,IF(OR(K20="QD51",K20="QD51q"),BP!$C$94,15))</f>
        <v>15</v>
      </c>
      <c r="EE20" s="163">
        <f>IF(OR(K20="QD43",K20="QD43q"),BP!$D$92,IF(OR(K20="QD51",K20="QD51q"),BP!$D$94,IF($DV20=0,0,IF($DW20="SP",$EA20*$DV20,$DV20*$EC20))))</f>
        <v>0</v>
      </c>
      <c r="EF20" s="163">
        <f t="shared" si="45"/>
        <v>0</v>
      </c>
      <c r="EG20" s="169">
        <f t="shared" si="46"/>
        <v>0</v>
      </c>
      <c r="EH20" s="170">
        <f t="shared" si="47"/>
        <v>1100</v>
      </c>
      <c r="EI20" s="169">
        <v>15</v>
      </c>
      <c r="EJ20" s="162">
        <f t="shared" si="48"/>
        <v>0</v>
      </c>
      <c r="EK20" s="162">
        <f t="shared" si="49"/>
        <v>0</v>
      </c>
      <c r="EL20" s="169" t="b">
        <f t="shared" si="50"/>
        <v>0</v>
      </c>
      <c r="EM20" s="239" t="b">
        <f t="shared" si="51"/>
        <v>0</v>
      </c>
      <c r="EN20" s="169">
        <f t="shared" si="52"/>
        <v>0</v>
      </c>
      <c r="EO20" s="169" t="e">
        <f>INDEX(BP!$B$12:$F$29,MATCH($H20,BP!$B$12:$B$29,0),5)</f>
        <v>#N/A</v>
      </c>
      <c r="EP20" s="162">
        <f t="shared" si="53"/>
        <v>0</v>
      </c>
      <c r="EQ20" s="162" t="e">
        <f t="shared" si="54"/>
        <v>#N/A</v>
      </c>
      <c r="ER20" s="169" t="e">
        <f>INDEX(BP!$B$12:$F$29,MATCH($H20,BP!$B$12:$B$29,0),2)</f>
        <v>#N/A</v>
      </c>
      <c r="ES20" s="169" t="str">
        <f>IF(OR($H20="KP-1",$H20="KPE-1",$H20="KP-11"),INDEX(BP!$B$32:$F$41,MATCH($V20,BP!$B$32:$B$41,0),MATCH($AF20,BP!$B$32:$F$32,0)),IF(OR($H20="KP-3",$H20="KPE-3"),INDEX(BP!$B$44:$F$53,MATCH($V20,BP!$B$44:$B$53,0),MATCH($AF20,BP!$B$44:$F$44,0)),"DS"))</f>
        <v>DS</v>
      </c>
      <c r="ET20" s="169" t="b">
        <f t="shared" si="55"/>
        <v>0</v>
      </c>
      <c r="EU20" s="169" t="e">
        <f>INDEX(BP!$B$64:$D$66,MATCH($EM20,BP!$B$64:$B$66,0),2)</f>
        <v>#N/A</v>
      </c>
      <c r="EV20" s="169" t="e">
        <f>IF($H20="KP-11",INDEX(BP!$B$64:$D$74,MATCH($K20,BP!$B$64:$B$74,0),3),$ET20*$EU20)</f>
        <v>#N/A</v>
      </c>
      <c r="EW20" s="169" t="e">
        <f>INDEX(BP!$B$57:$D$60,MATCH($ES20,BP!$B$57:$B$60,0),3)</f>
        <v>#N/A</v>
      </c>
      <c r="EX20" s="169" t="e">
        <f>INDEX(BP!$B$57:$D$60,MATCH($ES20,BP!$B$57:$B$60,0),2)</f>
        <v>#N/A</v>
      </c>
      <c r="EY20" s="163" t="e">
        <f t="shared" si="56"/>
        <v>#N/A</v>
      </c>
      <c r="EZ20" s="163" t="e">
        <f t="shared" si="57"/>
        <v>#N/A</v>
      </c>
      <c r="FA20" s="158" t="b">
        <f t="shared" si="58"/>
        <v>0</v>
      </c>
      <c r="FB20" s="158">
        <f t="shared" si="59"/>
        <v>0</v>
      </c>
      <c r="FC20" s="159">
        <f t="shared" si="60"/>
        <v>0</v>
      </c>
      <c r="FE20" s="240">
        <f t="shared" si="61"/>
        <v>0</v>
      </c>
      <c r="FF20" s="240">
        <f t="shared" si="62"/>
        <v>0</v>
      </c>
      <c r="FG20" s="198" t="str">
        <f t="shared" si="63"/>
        <v>-</v>
      </c>
      <c r="FH20" s="198" t="str">
        <f t="shared" si="64"/>
        <v>-</v>
      </c>
      <c r="FI20" s="198" t="b">
        <f t="shared" si="65"/>
        <v>0</v>
      </c>
      <c r="FJ20" s="198" t="str">
        <f t="shared" si="66"/>
        <v>DS</v>
      </c>
      <c r="FK20" s="198" t="b">
        <f t="shared" si="67"/>
        <v>0</v>
      </c>
      <c r="FL20" s="198" t="str">
        <f t="shared" si="68"/>
        <v>-</v>
      </c>
      <c r="FM20" s="241" t="e">
        <f t="shared" si="69"/>
        <v>#VALUE!</v>
      </c>
      <c r="FN20" s="198">
        <f t="shared" si="70"/>
        <v>170000</v>
      </c>
      <c r="FO20" s="198" t="b">
        <f t="shared" si="71"/>
        <v>0</v>
      </c>
      <c r="FP20" s="198" t="str">
        <f t="shared" si="72"/>
        <v>-</v>
      </c>
      <c r="FQ20" s="198" t="str">
        <f t="shared" si="73"/>
        <v>-</v>
      </c>
      <c r="FR20" s="198">
        <f t="shared" si="74"/>
        <v>0</v>
      </c>
      <c r="FS20" s="198">
        <f t="shared" si="75"/>
        <v>0</v>
      </c>
      <c r="FT20" s="198">
        <f t="shared" si="76"/>
        <v>565.21739130434787</v>
      </c>
      <c r="FU20" s="242" t="e">
        <f>IF($FJ20="DS",INDEX(BP!$B$77:$F$87,MATCH($FI20,BP!$B$77:$B$87,0),MATCH($FF20,BP!$B$77:$F$77,0)),INDEX(BP!$B$77:$F$87,MATCH($FJ20,BP!$B$77:$B$87,0),MATCH($FF20,BP!$B$77:$F$77,0)))</f>
        <v>#N/A</v>
      </c>
      <c r="FV20" s="198" t="e">
        <f t="shared" si="77"/>
        <v>#N/A</v>
      </c>
      <c r="FW20" s="198">
        <f t="shared" si="78"/>
        <v>170000</v>
      </c>
      <c r="FX20" s="198">
        <v>20</v>
      </c>
      <c r="FY20" s="198">
        <v>35000</v>
      </c>
      <c r="FZ20" s="198">
        <v>1</v>
      </c>
      <c r="GA20" s="198" t="e">
        <f t="shared" si="79"/>
        <v>#VALUE!</v>
      </c>
      <c r="GB20" s="198" t="e">
        <f t="shared" si="80"/>
        <v>#VALUE!</v>
      </c>
      <c r="GC20" s="198" t="e">
        <f t="shared" si="81"/>
        <v>#VALUE!</v>
      </c>
      <c r="GD20" s="240">
        <f t="shared" si="82"/>
        <v>0</v>
      </c>
      <c r="GE20" s="242" t="e">
        <f t="shared" si="83"/>
        <v>#VALUE!</v>
      </c>
      <c r="GF20" s="242" t="e">
        <f t="shared" si="84"/>
        <v>#VALUE!</v>
      </c>
      <c r="GG20" s="242" t="e">
        <f t="shared" si="85"/>
        <v>#VALUE!</v>
      </c>
      <c r="GH20" s="243" t="e">
        <f t="shared" si="86"/>
        <v>#VALUE!</v>
      </c>
      <c r="GI20" s="243" t="e">
        <f t="shared" si="87"/>
        <v>#VALUE!</v>
      </c>
      <c r="GJ20" s="243" t="e">
        <f t="shared" si="88"/>
        <v>#VALUE!</v>
      </c>
      <c r="GK20" s="240">
        <f t="shared" si="89"/>
        <v>0</v>
      </c>
      <c r="GL20" s="198">
        <f t="shared" si="90"/>
        <v>0</v>
      </c>
      <c r="GM20" s="198">
        <f t="shared" si="91"/>
        <v>0</v>
      </c>
      <c r="GN20" s="240" t="e">
        <f t="shared" si="92"/>
        <v>#VALUE!</v>
      </c>
      <c r="GO20" s="243" t="e">
        <f t="shared" si="93"/>
        <v>#VALUE!</v>
      </c>
      <c r="GP20" s="198" t="e">
        <f t="shared" si="94"/>
        <v>#VALUE!</v>
      </c>
      <c r="GQ20" s="244" t="e">
        <f t="shared" si="95"/>
        <v>#VALUE!</v>
      </c>
      <c r="GR20" s="199" t="e">
        <f t="shared" si="96"/>
        <v>#N/A</v>
      </c>
      <c r="GS20" s="198" t="e">
        <f t="shared" si="97"/>
        <v>#N/A</v>
      </c>
      <c r="GT20" s="198" t="e">
        <f t="shared" si="98"/>
        <v>#N/A</v>
      </c>
      <c r="GU20" s="198" t="e">
        <f t="shared" si="99"/>
        <v>#N/A</v>
      </c>
      <c r="GV20" s="245">
        <f t="shared" si="100"/>
        <v>0</v>
      </c>
      <c r="GW20" s="198">
        <v>170000</v>
      </c>
      <c r="GX20" s="198">
        <v>8</v>
      </c>
      <c r="GY20" s="198">
        <f t="shared" si="101"/>
        <v>50.26548245743669</v>
      </c>
      <c r="GZ20" s="198" t="e">
        <f t="shared" si="102"/>
        <v>#N/A</v>
      </c>
      <c r="HA20" s="198">
        <v>1</v>
      </c>
      <c r="HB20" s="198" t="e">
        <f t="shared" si="103"/>
        <v>#N/A</v>
      </c>
      <c r="HC20" s="198" t="e">
        <f t="shared" si="104"/>
        <v>#N/A</v>
      </c>
      <c r="HD20" s="198" t="e">
        <f t="shared" si="105"/>
        <v>#N/A</v>
      </c>
      <c r="HE20" s="198">
        <f t="shared" si="106"/>
        <v>120</v>
      </c>
      <c r="HF20" s="198">
        <f t="shared" si="106"/>
        <v>120</v>
      </c>
      <c r="HG20" s="198">
        <v>100</v>
      </c>
      <c r="HH20" s="198" t="e">
        <f t="shared" si="107"/>
        <v>#N/A</v>
      </c>
      <c r="HI20" s="198" t="e">
        <f t="shared" si="108"/>
        <v>#N/A</v>
      </c>
      <c r="HJ20" s="198" t="e">
        <f t="shared" si="109"/>
        <v>#N/A</v>
      </c>
      <c r="HK20" s="198" t="e">
        <f t="shared" si="110"/>
        <v>#N/A</v>
      </c>
      <c r="HL20" s="198" t="e">
        <f t="shared" si="111"/>
        <v>#N/A</v>
      </c>
      <c r="HM20" s="198" t="e">
        <f t="shared" si="112"/>
        <v>#N/A</v>
      </c>
      <c r="HN20" s="241" t="e">
        <f>IF(H20="KP-TypJ",INDEX(TW!$O$168:$P$176,MATCH(V20,TW!$N$168:$N$176,0),MATCH(CJ20-0,TW!$O$167:$P$167,0)),IF(OR($H20="KP-11",$H20="KP-12"),$GQ20,$HM20+$GQ20))</f>
        <v>#N/A</v>
      </c>
    </row>
    <row r="21" spans="1:222" x14ac:dyDescent="0.25">
      <c r="A21" s="349"/>
      <c r="B21" s="350"/>
      <c r="C21" s="417"/>
      <c r="D21" s="350"/>
      <c r="E21" s="349"/>
      <c r="F21" s="350"/>
      <c r="G21" s="17"/>
      <c r="H21" s="420"/>
      <c r="I21" s="421"/>
      <c r="J21" s="421"/>
      <c r="K21" s="418"/>
      <c r="L21" s="418"/>
      <c r="M21" s="419"/>
      <c r="N21" s="10"/>
      <c r="O21" s="289"/>
      <c r="P21" s="290"/>
      <c r="Q21" s="13" t="s">
        <v>7</v>
      </c>
      <c r="R21" s="412"/>
      <c r="S21" s="413"/>
      <c r="T21" s="414"/>
      <c r="U21" s="415"/>
      <c r="V21" s="289"/>
      <c r="W21" s="290"/>
      <c r="X21" s="393" t="str">
        <f t="shared" si="7"/>
        <v/>
      </c>
      <c r="Y21" s="394"/>
      <c r="Z21" s="369"/>
      <c r="AA21" s="370"/>
      <c r="AB21" s="397"/>
      <c r="AC21" s="398"/>
      <c r="AD21" s="383"/>
      <c r="AE21" s="384"/>
      <c r="AF21" s="395"/>
      <c r="AG21" s="396"/>
      <c r="AH21" s="230"/>
      <c r="AI21" s="69" t="str">
        <f t="shared" si="8"/>
        <v/>
      </c>
      <c r="AJ21" s="18"/>
      <c r="AK21" s="349"/>
      <c r="AL21" s="350"/>
      <c r="AM21" s="349"/>
      <c r="AN21" s="350"/>
      <c r="AO21" s="318" t="str">
        <f>IF(AND(OR(H21="KP-8",H21="KP-10"),V21&gt;0),VLOOKUP(V21,'.'!$AO$32:$AQ$40,2,FALSE),"")</f>
        <v/>
      </c>
      <c r="AP21" s="319"/>
      <c r="AQ21" s="316" t="str">
        <f>IF(AND(OR(H21="KP-8",H21="KP-10"),V21&gt;0),VLOOKUP(V21,'.'!$AO$32:$AQ$40,3,FALSE),"")</f>
        <v/>
      </c>
      <c r="AR21" s="317"/>
      <c r="AS21" s="339" t="str">
        <f t="shared" si="9"/>
        <v/>
      </c>
      <c r="AT21" s="340"/>
      <c r="AU21" s="314"/>
      <c r="AV21" s="315"/>
      <c r="AW21" s="314"/>
      <c r="AX21" s="315"/>
      <c r="AY21" s="12"/>
      <c r="AZ21" s="291"/>
      <c r="BA21" s="292"/>
      <c r="BB21" s="292"/>
      <c r="BC21" s="293"/>
      <c r="BD21" s="5"/>
      <c r="BE21" s="5"/>
      <c r="BF21" s="128" t="str">
        <f t="shared" si="10"/>
        <v>-</v>
      </c>
      <c r="BG21" s="129" t="str">
        <f t="shared" si="11"/>
        <v>-</v>
      </c>
      <c r="BH21" s="130" t="str">
        <f t="shared" si="12"/>
        <v>-</v>
      </c>
      <c r="BI21" s="130" t="str">
        <f t="shared" si="13"/>
        <v>-</v>
      </c>
      <c r="BJ21" s="136"/>
      <c r="BK21" s="177" t="str">
        <f t="shared" si="14"/>
        <v>-</v>
      </c>
      <c r="BL21" s="136"/>
      <c r="BM21" s="143" t="str">
        <f t="shared" si="15"/>
        <v>-</v>
      </c>
      <c r="BN21" s="143" t="str">
        <f t="shared" si="16"/>
        <v>-</v>
      </c>
      <c r="BQ21" s="225" t="str">
        <f>IF($H21="","leer",VLOOKUP($H21,'.'!$AO$7:$AY$28,2,FALSE))</f>
        <v>leer</v>
      </c>
      <c r="BR21" s="225" t="str">
        <f>IF($H21="","leer",VLOOKUP($H21,'.'!$AO$7:$AY$28,3,FALSE))</f>
        <v>leer</v>
      </c>
      <c r="BS21" s="225" t="str">
        <f>IF($H21="","Dleer.",IF(OR(K21="QD43",K21="QD43q"),"TypQD43D.",IF(OR(K21="QD51",K21="QD51q"),"TypQD51D.",IF(AND($H21='.'!$AO$22,$K21="02"),"TypG02D.",VLOOKUP($H21,'.'!$AO$7:$AY$28,4,FALSE)))))</f>
        <v>Dleer.</v>
      </c>
      <c r="BT21" s="225" t="str">
        <f>IF($H21="","ITleer.",VLOOKUP($H21,'.'!$AO$7:$AY$28,5,FALSE))</f>
        <v>ITleer.</v>
      </c>
      <c r="BU21" s="225" t="str">
        <f>IF($AD21="(PUR)","TypPURIS.",IF($H21="","ISleer.",VLOOKUP($H21,'.'!$AO$7:$AY$28,6,FALSE)))</f>
        <v>ISleer.</v>
      </c>
      <c r="BV21" s="225" t="str">
        <f>IF($H21="","Fleer.",VLOOKUP($H21,'.'!$AO$7:$AY$28,7,FALSE))</f>
        <v>Fleer.</v>
      </c>
      <c r="BW21" s="225" t="str">
        <f>IF($H21="","leer",IF(AH21&lt;T21*100+220,"leer",VLOOKUP($H21,'.'!$AO$7:$AY$28,8,FALSE)))</f>
        <v>leer</v>
      </c>
      <c r="BX21" s="225" t="str">
        <f>IF($H21="","leer",VLOOKUP($H21,'.'!$AO$7:$AY$28,9,FALSE))</f>
        <v>leer</v>
      </c>
      <c r="BY21" s="225" t="str">
        <f>IF($H21="","leer",VLOOKUP($H21,'.'!$AO$7:$AY$28,10,FALSE))</f>
        <v>leer</v>
      </c>
      <c r="BZ21" s="226" t="e">
        <f>INDEX('.'!$AP$43:$BA$53,MATCH(H21,'.'!$AO$43:$AO$53,0),MATCH(K21,'.'!$AP$42:$BA$42,0))</f>
        <v>#N/A</v>
      </c>
      <c r="CA21" s="225" t="str">
        <f>IF($H21="","leer",VLOOKUP($H21,'.'!$AO$7:$AY$28,11,FALSE))</f>
        <v>leer</v>
      </c>
      <c r="CB21" s="225" t="e">
        <f>INDEX('.'!$AP$56:$BA$66,MATCH(H21,'.'!$AO$56:$AO$66,0),MATCH(K21,'.'!$AP$55:$BA$55,0))</f>
        <v>#N/A</v>
      </c>
      <c r="CC21" s="225" t="str">
        <f>IF(OR($H21="",$H21="KP-TypB",$H21="KP-TypC",$H21="KP-TypD",$H21="KP-TypH",$H21="KP-TypJ",$H21="KP-TypK"),"leer",IF(OR($H21="KP-1",$H21="KPE-1",$H21="KP-3",$H21="KPE-3",$H21="KP-11",$H21="KP-12",$H21="KP-TypG"),VLOOKUP(O21,'.'!$BA$7:$BB$15,2,FALSE),IF(OR($H21="KP-2",$H21="KP-7"),VLOOKUP(O21,'.'!$BD$7:$BE$15,2,FALSE),"n0.")))</f>
        <v>leer</v>
      </c>
      <c r="CD21" s="227" t="e">
        <f>INDEX('.'!$AP$69:$BA$79,MATCH(H21,'.'!$AO$69:$AO$79,0),MATCH(K21,'.'!$AP$68:$BA$68,0))</f>
        <v>#N/A</v>
      </c>
      <c r="CF21" s="117" t="e">
        <f>VLOOKUP($H21,TW!$L$54:$M$72,TW!$M$54,FALSE)</f>
        <v>#N/A</v>
      </c>
      <c r="CG21" s="117">
        <f t="shared" si="17"/>
        <v>0</v>
      </c>
      <c r="CH21" s="118">
        <f t="shared" si="18"/>
        <v>0</v>
      </c>
      <c r="CI21" s="118">
        <f t="shared" si="1"/>
        <v>0</v>
      </c>
      <c r="CJ21" s="117">
        <f t="shared" si="19"/>
        <v>0</v>
      </c>
      <c r="CK21" s="117" t="str">
        <f t="shared" si="20"/>
        <v>ø0-0</v>
      </c>
      <c r="CL21" s="122" t="b">
        <f>IF($H21="KP-1",INDEX(TW!$B$54:$J$63,MATCH($CI21,TW!$B$54:$B$63,0),MATCH($CK21,TW!$B$54:$J$54,0)),IF($H21="KPE-1",INDEX(TW!$B$66:$J$74,MATCH($CI21,TW!$B$66:$B$74,0),MATCH($CK21,TW!$B$66:$J$66,0)),IF($H21="KP-3",INDEX(TW!$B$77:$J$86,MATCH($CI21,TW!$B$77:$B$86,0),MATCH($CK21,TW!$B$77:$J$77,0)),IF($H21="KPE-3",INDEX(TW!$B$89:$J$97,MATCH($CI21,TW!$B$89:$B$97,0),MATCH($CK21,TW!$B$89:$J$89,0)),IF(OR($H21="KP-2",$H21="KP-7"),INDEX(TW!$B$100:$V$109,MATCH($CI21,TW!$B$100:$B$109,0),MATCH($CK21,TW!$B$100:$V$100,0)),IF($H21="KP-10",INDEX(TW!$B$121:$F$130,MATCH($CI21,TW!$B$121:$B$130,0),MATCH($CJ21,TW!$B$121:$F$121,0)),IF($H21="KP-11",INDEX(TW!$B$133:$J$141,MATCH($CI21,TW!$B$133:$B$141,0),MATCH($CK21,TW!$B$133:$J$133,0)),IF($H21="KP-12",INDEX(TW!$B$144:$J$152,MATCH($CI21,TW!$B$144:$B$152,0),MATCH($CK21,TW!$B$144:$J$144,0))))))))))</f>
        <v>0</v>
      </c>
      <c r="CM21" s="117" t="e">
        <f>VLOOKUP($CH21,TW!$B$112:$C$118,TW!$C$113,FALSE)</f>
        <v>#N/A</v>
      </c>
      <c r="CN21" s="235">
        <f t="shared" si="21"/>
        <v>0</v>
      </c>
      <c r="CO21" s="122">
        <f t="shared" si="22"/>
        <v>1</v>
      </c>
      <c r="CP21" s="122" t="e">
        <f>$CL21*(VLOOKUP($CH21,TW!$B$112:$D$118,TW!$D$113,FALSE)/INDEX(TW!$F$112:$J$117,MATCH($CH21,TW!$F$112:$F$117,0),MATCH($CJ21,TW!$F$112:$J$112,0)))</f>
        <v>#N/A</v>
      </c>
      <c r="CQ21" s="122" t="b">
        <f t="shared" si="23"/>
        <v>0</v>
      </c>
      <c r="CR21" s="122" t="str">
        <f t="shared" si="24"/>
        <v>leer</v>
      </c>
      <c r="CS21" s="122">
        <f>IF(H21="KP-12",INDEX(TW!$H$42:$L$50,MATCH($CY21,TW!$B$42:$B$50,0),MATCH($CZ21,TW!$B$42:$F$42,0)),0)</f>
        <v>0</v>
      </c>
      <c r="CT21" s="122">
        <f t="shared" si="25"/>
        <v>-60</v>
      </c>
      <c r="CU21" s="122">
        <f t="shared" si="26"/>
        <v>0</v>
      </c>
      <c r="CV21" s="122" t="str">
        <f>IF(H21="KP-TypJ",INDEX(TW!$K$168:$L$176,MATCH(V21,TW!$H$156:$H$164,0),MATCH(AF21-0,TW!$K$167:$L$167,0)),IF($H21="KP-7",$CG21*$CR21,IF(OR($H21="KP-9",$H21="KPE-9"),999,IF(ISNUMBER($CL21),$CL21*$CG21-$CU21,"-"))))</f>
        <v>-</v>
      </c>
      <c r="CW21" s="101" t="e">
        <f>VLOOKUP($H21,TW!$H$13:$I$30,TW!$I$13,FALSE)</f>
        <v>#N/A</v>
      </c>
      <c r="CX21" s="102" t="str">
        <f t="shared" si="27"/>
        <v>leer</v>
      </c>
      <c r="CY21" s="102">
        <f t="shared" si="28"/>
        <v>-60</v>
      </c>
      <c r="CZ21" s="102">
        <f t="shared" si="2"/>
        <v>0</v>
      </c>
      <c r="DA21" s="115" t="e">
        <f>IF($H21="KP-6",INDEX(TW!$B$25:$F$27,MATCH($CY21,TW!$B$25:$B$27,0),MATCH($CZ21,TW!$B$25:$F$25,0)),IF(OR($H21="KP-8",$H21="KP-10"),INDEX(TW!$B$30:$F$39,MATCH($CY21,TW!$B$30:$B$39,0),MATCH($CZ21,TW!$B$30:$F$30,0)),IF(OR($H21="KP-11",$H21="KP-12"),INDEX(TW!$B$42:$F$50,MATCH($CY21,TW!$B$42:$B$50,0),MATCH($CZ21,TW!$B$42:$F$42,0)),INDEX(TW!$B$13:$F$22,MATCH($CY21,TW!$B$13:$B$22,0),MATCH($CZ21,TW!$B$13:$F$13,0)))))</f>
        <v>#N/A</v>
      </c>
      <c r="DB21" s="115" t="str">
        <f>IF(AND(NOT(CZ21=0),OR(K21="QD43",K21="QD43q",K21="QD51",K21="QD51q")),INDEX(TW!$C$156:$F$164,MATCH(V21,TW!$B$156:$B$164,0),MATCH(K21,TW!$C$155:$F$155,0)),IF(AND(ISNUMBER($CX21),ISNUMBER($DA21)),$CX21*$DA21,"-"))</f>
        <v>-</v>
      </c>
      <c r="DC21" s="236" t="str">
        <f t="shared" si="29"/>
        <v>leer</v>
      </c>
      <c r="DD21" s="236" t="str">
        <f t="shared" si="4"/>
        <v>leer</v>
      </c>
      <c r="DE21" s="236" t="e">
        <f>VLOOKUP($DD21,TW!$B$4:$H$9,TW!$H$4,FALSE)</f>
        <v>#N/A</v>
      </c>
      <c r="DF21" s="237">
        <f t="shared" si="30"/>
        <v>0</v>
      </c>
      <c r="DG21" s="82">
        <f t="shared" si="31"/>
        <v>1</v>
      </c>
      <c r="DH21" s="82" t="e">
        <f>VLOOKUP($DD21,TW!$B$4:$H$9,TW!$G$4,FALSE)</f>
        <v>#N/A</v>
      </c>
      <c r="DI21" s="236" t="str">
        <f>IF($AF21="","leer",IF($AF21=60,VLOOKUP($DD21,TW!$B$4:$H$9,TW!$C$4,FALSE),IF($AF21=80,VLOOKUP($DD21,TW!$B$4:$H$9,TW!$D$4,FALSE),IF($AF21=100,VLOOKUP($DD21,TW!$B$4:$H$9,TW!$E$4,FALSE),IF($AF21=120,VLOOKUP($DD21,TW!$B$4:$H$9,TW!$F$4,FALSE),"")))))</f>
        <v>leer</v>
      </c>
      <c r="DJ21" s="82" t="str">
        <f t="shared" si="32"/>
        <v>leer</v>
      </c>
      <c r="DK21" s="82" t="e">
        <f>IF(H21="KP-TypH",INDEX(TW!$C$168:$D$176,MATCH(V21,TW!$B$168:$B$176,0),MATCH(CJ21-0,TW!$C$167:$D$167,0)),IF(H21="KP-TypJ",INDEX(TW!$G$168:$H$176,MATCH(V21,TW!$F$168:$F$176,0),MATCH(CJ21-0,TW!$G$167:$H$167,0)),$DJ21*$DC21))</f>
        <v>#VALUE!</v>
      </c>
      <c r="DL21" s="77" t="str">
        <f>IF(AND(NOT(CZ21=0),OR(K21="QD43",K21="QD43q",K21="QD51",K21="QD51q")),INDEX(TW!$I$156:$L$164,MATCH(V21,TW!$H$156:$H$164,0),MATCH(K21,TW!$I$155:$L$155,0)),IF(OR(AND($H21="KP-TypG",$K21="02")),100,IF(OR($AU21="x",AND($H21="KP-TypG",$K21="01")),50,"-")))</f>
        <v>-</v>
      </c>
      <c r="DN21" s="171">
        <f t="shared" si="33"/>
        <v>0</v>
      </c>
      <c r="DO21" s="238">
        <f>IF(ISBLANK($AD21),0,INDEX(BP!$B$3:$C$8,MATCH($AD21,BP!$B$3:$B$8,0),2))</f>
        <v>0</v>
      </c>
      <c r="DP21" s="170">
        <f t="shared" si="34"/>
        <v>0</v>
      </c>
      <c r="DQ21" s="163">
        <f t="shared" si="35"/>
        <v>0</v>
      </c>
      <c r="DR21" s="163">
        <f t="shared" si="36"/>
        <v>0</v>
      </c>
      <c r="DS21" s="169">
        <f>INDEX(BP!$B$3:$C$8,6,2)</f>
        <v>0.17499999999999999</v>
      </c>
      <c r="DT21" s="162">
        <f t="shared" si="37"/>
        <v>0</v>
      </c>
      <c r="DU21" s="163">
        <f t="shared" si="38"/>
        <v>0</v>
      </c>
      <c r="DV21" s="170">
        <f t="shared" si="39"/>
        <v>0</v>
      </c>
      <c r="DW21" s="170" t="e">
        <f>INDEX(BP!$B$12:$F$29,MATCH($H21,BP!$B$12:$B$29,0),3)</f>
        <v>#N/A</v>
      </c>
      <c r="DX21" s="170" t="e">
        <f>INDEX(BP!$B$12:$F$29,MATCH($H21,BP!$B$12:$B$29,0),4)</f>
        <v>#N/A</v>
      </c>
      <c r="DY21" s="169" t="e">
        <f t="shared" si="40"/>
        <v>#N/A</v>
      </c>
      <c r="DZ21" s="169" t="e">
        <f t="shared" si="41"/>
        <v>#N/A</v>
      </c>
      <c r="EA21" s="169" t="e">
        <f t="shared" si="42"/>
        <v>#N/A</v>
      </c>
      <c r="EB21" s="169" t="str">
        <f t="shared" si="43"/>
        <v>-</v>
      </c>
      <c r="EC21" s="169" t="e">
        <f t="shared" si="44"/>
        <v>#VALUE!</v>
      </c>
      <c r="ED21" s="169">
        <f>IF(OR(K21="QD43",K21="QD43q"),BP!$C$92,IF(OR(K21="QD51",K21="QD51q"),BP!$C$94,15))</f>
        <v>15</v>
      </c>
      <c r="EE21" s="163">
        <f>IF(OR(K21="QD43",K21="QD43q"),BP!$D$92,IF(OR(K21="QD51",K21="QD51q"),BP!$D$94,IF($DV21=0,0,IF($DW21="SP",$EA21*$DV21,$DV21*$EC21))))</f>
        <v>0</v>
      </c>
      <c r="EF21" s="163">
        <f t="shared" si="45"/>
        <v>0</v>
      </c>
      <c r="EG21" s="169">
        <f t="shared" si="46"/>
        <v>0</v>
      </c>
      <c r="EH21" s="170">
        <f t="shared" si="47"/>
        <v>1100</v>
      </c>
      <c r="EI21" s="169">
        <v>15</v>
      </c>
      <c r="EJ21" s="162">
        <f t="shared" si="48"/>
        <v>0</v>
      </c>
      <c r="EK21" s="162">
        <f t="shared" si="49"/>
        <v>0</v>
      </c>
      <c r="EL21" s="169" t="b">
        <f t="shared" si="50"/>
        <v>0</v>
      </c>
      <c r="EM21" s="239" t="b">
        <f t="shared" si="51"/>
        <v>0</v>
      </c>
      <c r="EN21" s="169">
        <f t="shared" si="52"/>
        <v>0</v>
      </c>
      <c r="EO21" s="169" t="e">
        <f>INDEX(BP!$B$12:$F$29,MATCH($H21,BP!$B$12:$B$29,0),5)</f>
        <v>#N/A</v>
      </c>
      <c r="EP21" s="162">
        <f t="shared" si="53"/>
        <v>0</v>
      </c>
      <c r="EQ21" s="162" t="e">
        <f t="shared" si="54"/>
        <v>#N/A</v>
      </c>
      <c r="ER21" s="169" t="e">
        <f>INDEX(BP!$B$12:$F$29,MATCH($H21,BP!$B$12:$B$29,0),2)</f>
        <v>#N/A</v>
      </c>
      <c r="ES21" s="169" t="str">
        <f>IF(OR($H21="KP-1",$H21="KPE-1",$H21="KP-11"),INDEX(BP!$B$32:$F$41,MATCH($V21,BP!$B$32:$B$41,0),MATCH($AF21,BP!$B$32:$F$32,0)),IF(OR($H21="KP-3",$H21="KPE-3"),INDEX(BP!$B$44:$F$53,MATCH($V21,BP!$B$44:$B$53,0),MATCH($AF21,BP!$B$44:$F$44,0)),"DS"))</f>
        <v>DS</v>
      </c>
      <c r="ET21" s="169" t="b">
        <f t="shared" si="55"/>
        <v>0</v>
      </c>
      <c r="EU21" s="169" t="e">
        <f>INDEX(BP!$B$64:$D$66,MATCH($EM21,BP!$B$64:$B$66,0),2)</f>
        <v>#N/A</v>
      </c>
      <c r="EV21" s="169" t="e">
        <f>IF($H21="KP-11",INDEX(BP!$B$64:$D$74,MATCH($K21,BP!$B$64:$B$74,0),3),$ET21*$EU21)</f>
        <v>#N/A</v>
      </c>
      <c r="EW21" s="169" t="e">
        <f>INDEX(BP!$B$57:$D$60,MATCH($ES21,BP!$B$57:$B$60,0),3)</f>
        <v>#N/A</v>
      </c>
      <c r="EX21" s="169" t="e">
        <f>INDEX(BP!$B$57:$D$60,MATCH($ES21,BP!$B$57:$B$60,0),2)</f>
        <v>#N/A</v>
      </c>
      <c r="EY21" s="163" t="e">
        <f t="shared" si="56"/>
        <v>#N/A</v>
      </c>
      <c r="EZ21" s="163" t="e">
        <f t="shared" si="57"/>
        <v>#N/A</v>
      </c>
      <c r="FA21" s="158" t="b">
        <f t="shared" si="58"/>
        <v>0</v>
      </c>
      <c r="FB21" s="158">
        <f t="shared" si="59"/>
        <v>0</v>
      </c>
      <c r="FC21" s="159">
        <f t="shared" si="60"/>
        <v>0</v>
      </c>
      <c r="FE21" s="240">
        <f t="shared" si="61"/>
        <v>0</v>
      </c>
      <c r="FF21" s="240">
        <f t="shared" si="62"/>
        <v>0</v>
      </c>
      <c r="FG21" s="198" t="str">
        <f t="shared" si="63"/>
        <v>-</v>
      </c>
      <c r="FH21" s="198" t="str">
        <f t="shared" si="64"/>
        <v>-</v>
      </c>
      <c r="FI21" s="198" t="b">
        <f t="shared" si="65"/>
        <v>0</v>
      </c>
      <c r="FJ21" s="198" t="str">
        <f t="shared" si="66"/>
        <v>DS</v>
      </c>
      <c r="FK21" s="198" t="b">
        <f t="shared" si="67"/>
        <v>0</v>
      </c>
      <c r="FL21" s="198" t="str">
        <f t="shared" si="68"/>
        <v>-</v>
      </c>
      <c r="FM21" s="241" t="e">
        <f t="shared" si="69"/>
        <v>#VALUE!</v>
      </c>
      <c r="FN21" s="198">
        <f t="shared" si="70"/>
        <v>170000</v>
      </c>
      <c r="FO21" s="198" t="b">
        <f t="shared" si="71"/>
        <v>0</v>
      </c>
      <c r="FP21" s="198" t="str">
        <f t="shared" si="72"/>
        <v>-</v>
      </c>
      <c r="FQ21" s="198" t="str">
        <f t="shared" si="73"/>
        <v>-</v>
      </c>
      <c r="FR21" s="198">
        <f t="shared" si="74"/>
        <v>0</v>
      </c>
      <c r="FS21" s="198">
        <f t="shared" si="75"/>
        <v>0</v>
      </c>
      <c r="FT21" s="198">
        <f t="shared" si="76"/>
        <v>565.21739130434787</v>
      </c>
      <c r="FU21" s="242" t="e">
        <f>IF($FJ21="DS",INDEX(BP!$B$77:$F$87,MATCH($FI21,BP!$B$77:$B$87,0),MATCH($FF21,BP!$B$77:$F$77,0)),INDEX(BP!$B$77:$F$87,MATCH($FJ21,BP!$B$77:$B$87,0),MATCH($FF21,BP!$B$77:$F$77,0)))</f>
        <v>#N/A</v>
      </c>
      <c r="FV21" s="198" t="e">
        <f t="shared" si="77"/>
        <v>#N/A</v>
      </c>
      <c r="FW21" s="198">
        <f t="shared" si="78"/>
        <v>170000</v>
      </c>
      <c r="FX21" s="198">
        <v>20</v>
      </c>
      <c r="FY21" s="198">
        <v>35000</v>
      </c>
      <c r="FZ21" s="198">
        <v>1</v>
      </c>
      <c r="GA21" s="198" t="e">
        <f t="shared" si="79"/>
        <v>#VALUE!</v>
      </c>
      <c r="GB21" s="198" t="e">
        <f t="shared" si="80"/>
        <v>#VALUE!</v>
      </c>
      <c r="GC21" s="198" t="e">
        <f t="shared" si="81"/>
        <v>#VALUE!</v>
      </c>
      <c r="GD21" s="240">
        <f t="shared" si="82"/>
        <v>0</v>
      </c>
      <c r="GE21" s="242" t="e">
        <f t="shared" si="83"/>
        <v>#VALUE!</v>
      </c>
      <c r="GF21" s="242" t="e">
        <f t="shared" si="84"/>
        <v>#VALUE!</v>
      </c>
      <c r="GG21" s="242" t="e">
        <f t="shared" si="85"/>
        <v>#VALUE!</v>
      </c>
      <c r="GH21" s="243" t="e">
        <f t="shared" si="86"/>
        <v>#VALUE!</v>
      </c>
      <c r="GI21" s="243" t="e">
        <f t="shared" si="87"/>
        <v>#VALUE!</v>
      </c>
      <c r="GJ21" s="243" t="e">
        <f t="shared" si="88"/>
        <v>#VALUE!</v>
      </c>
      <c r="GK21" s="240">
        <f t="shared" si="89"/>
        <v>0</v>
      </c>
      <c r="GL21" s="198">
        <f t="shared" si="90"/>
        <v>0</v>
      </c>
      <c r="GM21" s="198">
        <f t="shared" si="91"/>
        <v>0</v>
      </c>
      <c r="GN21" s="240" t="e">
        <f t="shared" si="92"/>
        <v>#VALUE!</v>
      </c>
      <c r="GO21" s="243" t="e">
        <f t="shared" si="93"/>
        <v>#VALUE!</v>
      </c>
      <c r="GP21" s="198" t="e">
        <f t="shared" si="94"/>
        <v>#VALUE!</v>
      </c>
      <c r="GQ21" s="244" t="e">
        <f t="shared" si="95"/>
        <v>#VALUE!</v>
      </c>
      <c r="GR21" s="199" t="e">
        <f t="shared" si="96"/>
        <v>#N/A</v>
      </c>
      <c r="GS21" s="198" t="e">
        <f t="shared" si="97"/>
        <v>#N/A</v>
      </c>
      <c r="GT21" s="198" t="e">
        <f t="shared" si="98"/>
        <v>#N/A</v>
      </c>
      <c r="GU21" s="198" t="e">
        <f t="shared" si="99"/>
        <v>#N/A</v>
      </c>
      <c r="GV21" s="245">
        <f t="shared" si="100"/>
        <v>0</v>
      </c>
      <c r="GW21" s="198">
        <v>170000</v>
      </c>
      <c r="GX21" s="198">
        <v>8</v>
      </c>
      <c r="GY21" s="198">
        <f t="shared" si="101"/>
        <v>50.26548245743669</v>
      </c>
      <c r="GZ21" s="198" t="e">
        <f t="shared" si="102"/>
        <v>#N/A</v>
      </c>
      <c r="HA21" s="198">
        <v>1</v>
      </c>
      <c r="HB21" s="198" t="e">
        <f t="shared" si="103"/>
        <v>#N/A</v>
      </c>
      <c r="HC21" s="198" t="e">
        <f t="shared" si="104"/>
        <v>#N/A</v>
      </c>
      <c r="HD21" s="198" t="e">
        <f t="shared" si="105"/>
        <v>#N/A</v>
      </c>
      <c r="HE21" s="198">
        <f t="shared" si="106"/>
        <v>120</v>
      </c>
      <c r="HF21" s="198">
        <f t="shared" si="106"/>
        <v>120</v>
      </c>
      <c r="HG21" s="198">
        <v>100</v>
      </c>
      <c r="HH21" s="198" t="e">
        <f t="shared" si="107"/>
        <v>#N/A</v>
      </c>
      <c r="HI21" s="198" t="e">
        <f t="shared" si="108"/>
        <v>#N/A</v>
      </c>
      <c r="HJ21" s="198" t="e">
        <f t="shared" si="109"/>
        <v>#N/A</v>
      </c>
      <c r="HK21" s="198" t="e">
        <f t="shared" si="110"/>
        <v>#N/A</v>
      </c>
      <c r="HL21" s="198" t="e">
        <f t="shared" si="111"/>
        <v>#N/A</v>
      </c>
      <c r="HM21" s="198" t="e">
        <f t="shared" si="112"/>
        <v>#N/A</v>
      </c>
      <c r="HN21" s="241" t="e">
        <f>IF(H21="KP-TypJ",INDEX(TW!$O$168:$P$176,MATCH(V21,TW!$N$168:$N$176,0),MATCH(CJ21-0,TW!$O$167:$P$167,0)),IF(OR($H21="KP-11",$H21="KP-12"),$GQ21,$HM21+$GQ21))</f>
        <v>#N/A</v>
      </c>
    </row>
    <row r="22" spans="1:222" x14ac:dyDescent="0.25">
      <c r="A22" s="349"/>
      <c r="B22" s="350"/>
      <c r="C22" s="417"/>
      <c r="D22" s="350"/>
      <c r="E22" s="349"/>
      <c r="F22" s="350"/>
      <c r="G22" s="17"/>
      <c r="H22" s="420"/>
      <c r="I22" s="421"/>
      <c r="J22" s="421"/>
      <c r="K22" s="418"/>
      <c r="L22" s="418"/>
      <c r="M22" s="419"/>
      <c r="N22" s="10"/>
      <c r="O22" s="289"/>
      <c r="P22" s="290"/>
      <c r="Q22" s="13" t="s">
        <v>7</v>
      </c>
      <c r="R22" s="412"/>
      <c r="S22" s="413"/>
      <c r="T22" s="414"/>
      <c r="U22" s="415"/>
      <c r="V22" s="289"/>
      <c r="W22" s="290"/>
      <c r="X22" s="393" t="str">
        <f t="shared" si="7"/>
        <v/>
      </c>
      <c r="Y22" s="394"/>
      <c r="Z22" s="369"/>
      <c r="AA22" s="370"/>
      <c r="AB22" s="397"/>
      <c r="AC22" s="398"/>
      <c r="AD22" s="383"/>
      <c r="AE22" s="384"/>
      <c r="AF22" s="395"/>
      <c r="AG22" s="396"/>
      <c r="AH22" s="230"/>
      <c r="AI22" s="69" t="str">
        <f t="shared" si="8"/>
        <v/>
      </c>
      <c r="AJ22" s="18"/>
      <c r="AK22" s="349"/>
      <c r="AL22" s="350"/>
      <c r="AM22" s="349"/>
      <c r="AN22" s="350"/>
      <c r="AO22" s="318" t="str">
        <f>IF(AND(OR(H22="KP-8",H22="KP-10"),V22&gt;0),VLOOKUP(V22,'.'!$AO$32:$AQ$40,2,FALSE),"")</f>
        <v/>
      </c>
      <c r="AP22" s="319"/>
      <c r="AQ22" s="316" t="str">
        <f>IF(AND(OR(H22="KP-8",H22="KP-10"),V22&gt;0),VLOOKUP(V22,'.'!$AO$32:$AQ$40,3,FALSE),"")</f>
        <v/>
      </c>
      <c r="AR22" s="317"/>
      <c r="AS22" s="339" t="str">
        <f t="shared" si="9"/>
        <v/>
      </c>
      <c r="AT22" s="340"/>
      <c r="AU22" s="314"/>
      <c r="AV22" s="315"/>
      <c r="AW22" s="314"/>
      <c r="AX22" s="315"/>
      <c r="AY22" s="12"/>
      <c r="AZ22" s="291"/>
      <c r="BA22" s="292"/>
      <c r="BB22" s="292"/>
      <c r="BC22" s="293"/>
      <c r="BD22" s="5"/>
      <c r="BE22" s="5"/>
      <c r="BF22" s="128" t="str">
        <f t="shared" si="10"/>
        <v>-</v>
      </c>
      <c r="BG22" s="129" t="str">
        <f t="shared" si="11"/>
        <v>-</v>
      </c>
      <c r="BH22" s="130" t="str">
        <f t="shared" si="12"/>
        <v>-</v>
      </c>
      <c r="BI22" s="130" t="str">
        <f t="shared" si="13"/>
        <v>-</v>
      </c>
      <c r="BJ22" s="136"/>
      <c r="BK22" s="177" t="str">
        <f t="shared" si="14"/>
        <v>-</v>
      </c>
      <c r="BL22" s="136"/>
      <c r="BM22" s="143" t="str">
        <f t="shared" si="15"/>
        <v>-</v>
      </c>
      <c r="BN22" s="143" t="str">
        <f t="shared" si="16"/>
        <v>-</v>
      </c>
      <c r="BQ22" s="225" t="str">
        <f>IF($H22="","leer",VLOOKUP($H22,'.'!$AO$7:$AY$28,2,FALSE))</f>
        <v>leer</v>
      </c>
      <c r="BR22" s="225" t="str">
        <f>IF($H22="","leer",VLOOKUP($H22,'.'!$AO$7:$AY$28,3,FALSE))</f>
        <v>leer</v>
      </c>
      <c r="BS22" s="225" t="str">
        <f>IF($H22="","Dleer.",IF(OR(K22="QD43",K22="QD43q"),"TypQD43D.",IF(OR(K22="QD51",K22="QD51q"),"TypQD51D.",IF(AND($H22='.'!$AO$22,$K22="02"),"TypG02D.",VLOOKUP($H22,'.'!$AO$7:$AY$28,4,FALSE)))))</f>
        <v>Dleer.</v>
      </c>
      <c r="BT22" s="225" t="str">
        <f>IF($H22="","ITleer.",VLOOKUP($H22,'.'!$AO$7:$AY$28,5,FALSE))</f>
        <v>ITleer.</v>
      </c>
      <c r="BU22" s="225" t="str">
        <f>IF($AD22="(PUR)","TypPURIS.",IF($H22="","ISleer.",VLOOKUP($H22,'.'!$AO$7:$AY$28,6,FALSE)))</f>
        <v>ISleer.</v>
      </c>
      <c r="BV22" s="225" t="str">
        <f>IF($H22="","Fleer.",VLOOKUP($H22,'.'!$AO$7:$AY$28,7,FALSE))</f>
        <v>Fleer.</v>
      </c>
      <c r="BW22" s="225" t="str">
        <f>IF($H22="","leer",IF(AH22&lt;T22*100+220,"leer",VLOOKUP($H22,'.'!$AO$7:$AY$28,8,FALSE)))</f>
        <v>leer</v>
      </c>
      <c r="BX22" s="225" t="str">
        <f>IF($H22="","leer",VLOOKUP($H22,'.'!$AO$7:$AY$28,9,FALSE))</f>
        <v>leer</v>
      </c>
      <c r="BY22" s="225" t="str">
        <f>IF($H22="","leer",VLOOKUP($H22,'.'!$AO$7:$AY$28,10,FALSE))</f>
        <v>leer</v>
      </c>
      <c r="BZ22" s="226" t="e">
        <f>INDEX('.'!$AP$43:$BA$53,MATCH(H22,'.'!$AO$43:$AO$53,0),MATCH(K22,'.'!$AP$42:$BA$42,0))</f>
        <v>#N/A</v>
      </c>
      <c r="CA22" s="225" t="str">
        <f>IF($H22="","leer",VLOOKUP($H22,'.'!$AO$7:$AY$28,11,FALSE))</f>
        <v>leer</v>
      </c>
      <c r="CB22" s="225" t="e">
        <f>INDEX('.'!$AP$56:$BA$66,MATCH(H22,'.'!$AO$56:$AO$66,0),MATCH(K22,'.'!$AP$55:$BA$55,0))</f>
        <v>#N/A</v>
      </c>
      <c r="CC22" s="225" t="str">
        <f>IF(OR($H22="",$H22="KP-TypB",$H22="KP-TypC",$H22="KP-TypD",$H22="KP-TypH",$H22="KP-TypJ",$H22="KP-TypK"),"leer",IF(OR($H22="KP-1",$H22="KPE-1",$H22="KP-3",$H22="KPE-3",$H22="KP-11",$H22="KP-12",$H22="KP-TypG"),VLOOKUP(O22,'.'!$BA$7:$BB$15,2,FALSE),IF(OR($H22="KP-2",$H22="KP-7"),VLOOKUP(O22,'.'!$BD$7:$BE$15,2,FALSE),"n0.")))</f>
        <v>leer</v>
      </c>
      <c r="CD22" s="227" t="e">
        <f>INDEX('.'!$AP$69:$BA$79,MATCH(H22,'.'!$AO$69:$AO$79,0),MATCH(K22,'.'!$AP$68:$BA$68,0))</f>
        <v>#N/A</v>
      </c>
      <c r="CF22" s="117" t="e">
        <f>VLOOKUP($H22,TW!$L$54:$M$72,TW!$M$54,FALSE)</f>
        <v>#N/A</v>
      </c>
      <c r="CG22" s="117">
        <f t="shared" si="17"/>
        <v>0</v>
      </c>
      <c r="CH22" s="118">
        <f t="shared" si="18"/>
        <v>0</v>
      </c>
      <c r="CI22" s="118">
        <f t="shared" si="1"/>
        <v>0</v>
      </c>
      <c r="CJ22" s="117">
        <f t="shared" si="19"/>
        <v>0</v>
      </c>
      <c r="CK22" s="117" t="str">
        <f t="shared" si="20"/>
        <v>ø0-0</v>
      </c>
      <c r="CL22" s="122" t="b">
        <f>IF($H22="KP-1",INDEX(TW!$B$54:$J$63,MATCH($CI22,TW!$B$54:$B$63,0),MATCH($CK22,TW!$B$54:$J$54,0)),IF($H22="KPE-1",INDEX(TW!$B$66:$J$74,MATCH($CI22,TW!$B$66:$B$74,0),MATCH($CK22,TW!$B$66:$J$66,0)),IF($H22="KP-3",INDEX(TW!$B$77:$J$86,MATCH($CI22,TW!$B$77:$B$86,0),MATCH($CK22,TW!$B$77:$J$77,0)),IF($H22="KPE-3",INDEX(TW!$B$89:$J$97,MATCH($CI22,TW!$B$89:$B$97,0),MATCH($CK22,TW!$B$89:$J$89,0)),IF(OR($H22="KP-2",$H22="KP-7"),INDEX(TW!$B$100:$V$109,MATCH($CI22,TW!$B$100:$B$109,0),MATCH($CK22,TW!$B$100:$V$100,0)),IF($H22="KP-10",INDEX(TW!$B$121:$F$130,MATCH($CI22,TW!$B$121:$B$130,0),MATCH($CJ22,TW!$B$121:$F$121,0)),IF($H22="KP-11",INDEX(TW!$B$133:$J$141,MATCH($CI22,TW!$B$133:$B$141,0),MATCH($CK22,TW!$B$133:$J$133,0)),IF($H22="KP-12",INDEX(TW!$B$144:$J$152,MATCH($CI22,TW!$B$144:$B$152,0),MATCH($CK22,TW!$B$144:$J$144,0))))))))))</f>
        <v>0</v>
      </c>
      <c r="CM22" s="117" t="e">
        <f>VLOOKUP($CH22,TW!$B$112:$C$118,TW!$C$113,FALSE)</f>
        <v>#N/A</v>
      </c>
      <c r="CN22" s="235">
        <f t="shared" si="21"/>
        <v>0</v>
      </c>
      <c r="CO22" s="122">
        <f t="shared" si="22"/>
        <v>1</v>
      </c>
      <c r="CP22" s="122" t="e">
        <f>$CL22*(VLOOKUP($CH22,TW!$B$112:$D$118,TW!$D$113,FALSE)/INDEX(TW!$F$112:$J$117,MATCH($CH22,TW!$F$112:$F$117,0),MATCH($CJ22,TW!$F$112:$J$112,0)))</f>
        <v>#N/A</v>
      </c>
      <c r="CQ22" s="122" t="b">
        <f t="shared" si="23"/>
        <v>0</v>
      </c>
      <c r="CR22" s="122" t="str">
        <f t="shared" si="24"/>
        <v>leer</v>
      </c>
      <c r="CS22" s="122">
        <f>IF(H22="KP-12",INDEX(TW!$H$42:$L$50,MATCH($CY22,TW!$B$42:$B$50,0),MATCH($CZ22,TW!$B$42:$F$42,0)),0)</f>
        <v>0</v>
      </c>
      <c r="CT22" s="122">
        <f t="shared" si="25"/>
        <v>-60</v>
      </c>
      <c r="CU22" s="122">
        <f t="shared" si="26"/>
        <v>0</v>
      </c>
      <c r="CV22" s="122" t="str">
        <f>IF(H22="KP-TypJ",INDEX(TW!$K$168:$L$176,MATCH(V22,TW!$H$156:$H$164,0),MATCH(AF22-0,TW!$K$167:$L$167,0)),IF($H22="KP-7",$CG22*$CR22,IF(OR($H22="KP-9",$H22="KPE-9"),999,IF(ISNUMBER($CL22),$CL22*$CG22-$CU22,"-"))))</f>
        <v>-</v>
      </c>
      <c r="CW22" s="101" t="e">
        <f>VLOOKUP($H22,TW!$H$13:$I$30,TW!$I$13,FALSE)</f>
        <v>#N/A</v>
      </c>
      <c r="CX22" s="102" t="str">
        <f t="shared" si="27"/>
        <v>leer</v>
      </c>
      <c r="CY22" s="102">
        <f t="shared" si="28"/>
        <v>-60</v>
      </c>
      <c r="CZ22" s="102">
        <f t="shared" si="2"/>
        <v>0</v>
      </c>
      <c r="DA22" s="115" t="e">
        <f>IF($H22="KP-6",INDEX(TW!$B$25:$F$27,MATCH($CY22,TW!$B$25:$B$27,0),MATCH($CZ22,TW!$B$25:$F$25,0)),IF(OR($H22="KP-8",$H22="KP-10"),INDEX(TW!$B$30:$F$39,MATCH($CY22,TW!$B$30:$B$39,0),MATCH($CZ22,TW!$B$30:$F$30,0)),IF(OR($H22="KP-11",$H22="KP-12"),INDEX(TW!$B$42:$F$50,MATCH($CY22,TW!$B$42:$B$50,0),MATCH($CZ22,TW!$B$42:$F$42,0)),INDEX(TW!$B$13:$F$22,MATCH($CY22,TW!$B$13:$B$22,0),MATCH($CZ22,TW!$B$13:$F$13,0)))))</f>
        <v>#N/A</v>
      </c>
      <c r="DB22" s="115" t="str">
        <f>IF(AND(NOT(CZ22=0),OR(K22="QD43",K22="QD43q",K22="QD51",K22="QD51q")),INDEX(TW!$C$156:$F$164,MATCH(V22,TW!$B$156:$B$164,0),MATCH(K22,TW!$C$155:$F$155,0)),IF(AND(ISNUMBER($CX22),ISNUMBER($DA22)),$CX22*$DA22,"-"))</f>
        <v>-</v>
      </c>
      <c r="DC22" s="236" t="str">
        <f t="shared" si="29"/>
        <v>leer</v>
      </c>
      <c r="DD22" s="236" t="str">
        <f t="shared" si="4"/>
        <v>leer</v>
      </c>
      <c r="DE22" s="236" t="e">
        <f>VLOOKUP($DD22,TW!$B$4:$H$9,TW!$H$4,FALSE)</f>
        <v>#N/A</v>
      </c>
      <c r="DF22" s="237">
        <f t="shared" si="30"/>
        <v>0</v>
      </c>
      <c r="DG22" s="82">
        <f t="shared" si="31"/>
        <v>1</v>
      </c>
      <c r="DH22" s="82" t="e">
        <f>VLOOKUP($DD22,TW!$B$4:$H$9,TW!$G$4,FALSE)</f>
        <v>#N/A</v>
      </c>
      <c r="DI22" s="236" t="str">
        <f>IF($AF22="","leer",IF($AF22=60,VLOOKUP($DD22,TW!$B$4:$H$9,TW!$C$4,FALSE),IF($AF22=80,VLOOKUP($DD22,TW!$B$4:$H$9,TW!$D$4,FALSE),IF($AF22=100,VLOOKUP($DD22,TW!$B$4:$H$9,TW!$E$4,FALSE),IF($AF22=120,VLOOKUP($DD22,TW!$B$4:$H$9,TW!$F$4,FALSE),"")))))</f>
        <v>leer</v>
      </c>
      <c r="DJ22" s="82" t="str">
        <f t="shared" si="32"/>
        <v>leer</v>
      </c>
      <c r="DK22" s="82" t="e">
        <f>IF(H22="KP-TypH",INDEX(TW!$C$168:$D$176,MATCH(V22,TW!$B$168:$B$176,0),MATCH(CJ22-0,TW!$C$167:$D$167,0)),IF(H22="KP-TypJ",INDEX(TW!$G$168:$H$176,MATCH(V22,TW!$F$168:$F$176,0),MATCH(CJ22-0,TW!$G$167:$H$167,0)),$DJ22*$DC22))</f>
        <v>#VALUE!</v>
      </c>
      <c r="DL22" s="77" t="str">
        <f>IF(AND(NOT(CZ22=0),OR(K22="QD43",K22="QD43q",K22="QD51",K22="QD51q")),INDEX(TW!$I$156:$L$164,MATCH(V22,TW!$H$156:$H$164,0),MATCH(K22,TW!$I$155:$L$155,0)),IF(OR(AND($H22="KP-TypG",$K22="02")),100,IF(OR($AU22="x",AND($H22="KP-TypG",$K22="01")),50,"-")))</f>
        <v>-</v>
      </c>
      <c r="DN22" s="171">
        <f t="shared" si="33"/>
        <v>0</v>
      </c>
      <c r="DO22" s="238">
        <f>IF(ISBLANK($AD22),0,INDEX(BP!$B$3:$C$8,MATCH($AD22,BP!$B$3:$B$8,0),2))</f>
        <v>0</v>
      </c>
      <c r="DP22" s="170">
        <f t="shared" si="34"/>
        <v>0</v>
      </c>
      <c r="DQ22" s="163">
        <f t="shared" si="35"/>
        <v>0</v>
      </c>
      <c r="DR22" s="163">
        <f t="shared" si="36"/>
        <v>0</v>
      </c>
      <c r="DS22" s="169">
        <f>INDEX(BP!$B$3:$C$8,6,2)</f>
        <v>0.17499999999999999</v>
      </c>
      <c r="DT22" s="162">
        <f t="shared" si="37"/>
        <v>0</v>
      </c>
      <c r="DU22" s="163">
        <f t="shared" si="38"/>
        <v>0</v>
      </c>
      <c r="DV22" s="170">
        <f t="shared" si="39"/>
        <v>0</v>
      </c>
      <c r="DW22" s="170" t="e">
        <f>INDEX(BP!$B$12:$F$29,MATCH($H22,BP!$B$12:$B$29,0),3)</f>
        <v>#N/A</v>
      </c>
      <c r="DX22" s="170" t="e">
        <f>INDEX(BP!$B$12:$F$29,MATCH($H22,BP!$B$12:$B$29,0),4)</f>
        <v>#N/A</v>
      </c>
      <c r="DY22" s="169" t="e">
        <f t="shared" si="40"/>
        <v>#N/A</v>
      </c>
      <c r="DZ22" s="169" t="e">
        <f t="shared" si="41"/>
        <v>#N/A</v>
      </c>
      <c r="EA22" s="169" t="e">
        <f t="shared" si="42"/>
        <v>#N/A</v>
      </c>
      <c r="EB22" s="169" t="str">
        <f t="shared" si="43"/>
        <v>-</v>
      </c>
      <c r="EC22" s="169" t="e">
        <f t="shared" si="44"/>
        <v>#VALUE!</v>
      </c>
      <c r="ED22" s="169">
        <f>IF(OR(K22="QD43",K22="QD43q"),BP!$C$92,IF(OR(K22="QD51",K22="QD51q"),BP!$C$94,15))</f>
        <v>15</v>
      </c>
      <c r="EE22" s="163">
        <f>IF(OR(K22="QD43",K22="QD43q"),BP!$D$92,IF(OR(K22="QD51",K22="QD51q"),BP!$D$94,IF($DV22=0,0,IF($DW22="SP",$EA22*$DV22,$DV22*$EC22))))</f>
        <v>0</v>
      </c>
      <c r="EF22" s="163">
        <f t="shared" si="45"/>
        <v>0</v>
      </c>
      <c r="EG22" s="169">
        <f t="shared" si="46"/>
        <v>0</v>
      </c>
      <c r="EH22" s="170">
        <f t="shared" si="47"/>
        <v>1100</v>
      </c>
      <c r="EI22" s="169">
        <v>15</v>
      </c>
      <c r="EJ22" s="162">
        <f t="shared" si="48"/>
        <v>0</v>
      </c>
      <c r="EK22" s="162">
        <f t="shared" si="49"/>
        <v>0</v>
      </c>
      <c r="EL22" s="169" t="b">
        <f t="shared" si="50"/>
        <v>0</v>
      </c>
      <c r="EM22" s="239" t="b">
        <f t="shared" si="51"/>
        <v>0</v>
      </c>
      <c r="EN22" s="169">
        <f t="shared" si="52"/>
        <v>0</v>
      </c>
      <c r="EO22" s="169" t="e">
        <f>INDEX(BP!$B$12:$F$29,MATCH($H22,BP!$B$12:$B$29,0),5)</f>
        <v>#N/A</v>
      </c>
      <c r="EP22" s="162">
        <f t="shared" si="53"/>
        <v>0</v>
      </c>
      <c r="EQ22" s="162" t="e">
        <f t="shared" si="54"/>
        <v>#N/A</v>
      </c>
      <c r="ER22" s="169" t="e">
        <f>INDEX(BP!$B$12:$F$29,MATCH($H22,BP!$B$12:$B$29,0),2)</f>
        <v>#N/A</v>
      </c>
      <c r="ES22" s="169" t="str">
        <f>IF(OR($H22="KP-1",$H22="KPE-1",$H22="KP-11"),INDEX(BP!$B$32:$F$41,MATCH($V22,BP!$B$32:$B$41,0),MATCH($AF22,BP!$B$32:$F$32,0)),IF(OR($H22="KP-3",$H22="KPE-3"),INDEX(BP!$B$44:$F$53,MATCH($V22,BP!$B$44:$B$53,0),MATCH($AF22,BP!$B$44:$F$44,0)),"DS"))</f>
        <v>DS</v>
      </c>
      <c r="ET22" s="169" t="b">
        <f t="shared" si="55"/>
        <v>0</v>
      </c>
      <c r="EU22" s="169" t="e">
        <f>INDEX(BP!$B$64:$D$66,MATCH($EM22,BP!$B$64:$B$66,0),2)</f>
        <v>#N/A</v>
      </c>
      <c r="EV22" s="169" t="e">
        <f>IF($H22="KP-11",INDEX(BP!$B$64:$D$74,MATCH($K22,BP!$B$64:$B$74,0),3),$ET22*$EU22)</f>
        <v>#N/A</v>
      </c>
      <c r="EW22" s="169" t="e">
        <f>INDEX(BP!$B$57:$D$60,MATCH($ES22,BP!$B$57:$B$60,0),3)</f>
        <v>#N/A</v>
      </c>
      <c r="EX22" s="169" t="e">
        <f>INDEX(BP!$B$57:$D$60,MATCH($ES22,BP!$B$57:$B$60,0),2)</f>
        <v>#N/A</v>
      </c>
      <c r="EY22" s="163" t="e">
        <f t="shared" si="56"/>
        <v>#N/A</v>
      </c>
      <c r="EZ22" s="163" t="e">
        <f t="shared" si="57"/>
        <v>#N/A</v>
      </c>
      <c r="FA22" s="158" t="b">
        <f t="shared" si="58"/>
        <v>0</v>
      </c>
      <c r="FB22" s="158">
        <f t="shared" si="59"/>
        <v>0</v>
      </c>
      <c r="FC22" s="159">
        <f t="shared" si="60"/>
        <v>0</v>
      </c>
      <c r="FE22" s="240">
        <f t="shared" si="61"/>
        <v>0</v>
      </c>
      <c r="FF22" s="240">
        <f t="shared" si="62"/>
        <v>0</v>
      </c>
      <c r="FG22" s="198" t="str">
        <f t="shared" si="63"/>
        <v>-</v>
      </c>
      <c r="FH22" s="198" t="str">
        <f t="shared" si="64"/>
        <v>-</v>
      </c>
      <c r="FI22" s="198" t="b">
        <f t="shared" si="65"/>
        <v>0</v>
      </c>
      <c r="FJ22" s="198" t="str">
        <f t="shared" si="66"/>
        <v>DS</v>
      </c>
      <c r="FK22" s="198" t="b">
        <f t="shared" si="67"/>
        <v>0</v>
      </c>
      <c r="FL22" s="198" t="str">
        <f t="shared" si="68"/>
        <v>-</v>
      </c>
      <c r="FM22" s="241" t="e">
        <f t="shared" si="69"/>
        <v>#VALUE!</v>
      </c>
      <c r="FN22" s="198">
        <f t="shared" si="70"/>
        <v>170000</v>
      </c>
      <c r="FO22" s="198" t="b">
        <f t="shared" si="71"/>
        <v>0</v>
      </c>
      <c r="FP22" s="198" t="str">
        <f t="shared" si="72"/>
        <v>-</v>
      </c>
      <c r="FQ22" s="198" t="str">
        <f t="shared" si="73"/>
        <v>-</v>
      </c>
      <c r="FR22" s="198">
        <f t="shared" si="74"/>
        <v>0</v>
      </c>
      <c r="FS22" s="198">
        <f t="shared" si="75"/>
        <v>0</v>
      </c>
      <c r="FT22" s="198">
        <f t="shared" si="76"/>
        <v>565.21739130434787</v>
      </c>
      <c r="FU22" s="242" t="e">
        <f>IF($FJ22="DS",INDEX(BP!$B$77:$F$87,MATCH($FI22,BP!$B$77:$B$87,0),MATCH($FF22,BP!$B$77:$F$77,0)),INDEX(BP!$B$77:$F$87,MATCH($FJ22,BP!$B$77:$B$87,0),MATCH($FF22,BP!$B$77:$F$77,0)))</f>
        <v>#N/A</v>
      </c>
      <c r="FV22" s="198" t="e">
        <f t="shared" si="77"/>
        <v>#N/A</v>
      </c>
      <c r="FW22" s="198">
        <f t="shared" si="78"/>
        <v>170000</v>
      </c>
      <c r="FX22" s="198">
        <v>20</v>
      </c>
      <c r="FY22" s="198">
        <v>35000</v>
      </c>
      <c r="FZ22" s="198">
        <v>1</v>
      </c>
      <c r="GA22" s="198" t="e">
        <f t="shared" si="79"/>
        <v>#VALUE!</v>
      </c>
      <c r="GB22" s="198" t="e">
        <f t="shared" si="80"/>
        <v>#VALUE!</v>
      </c>
      <c r="GC22" s="198" t="e">
        <f t="shared" si="81"/>
        <v>#VALUE!</v>
      </c>
      <c r="GD22" s="240">
        <f t="shared" si="82"/>
        <v>0</v>
      </c>
      <c r="GE22" s="242" t="e">
        <f t="shared" si="83"/>
        <v>#VALUE!</v>
      </c>
      <c r="GF22" s="242" t="e">
        <f t="shared" si="84"/>
        <v>#VALUE!</v>
      </c>
      <c r="GG22" s="242" t="e">
        <f t="shared" si="85"/>
        <v>#VALUE!</v>
      </c>
      <c r="GH22" s="243" t="e">
        <f t="shared" si="86"/>
        <v>#VALUE!</v>
      </c>
      <c r="GI22" s="243" t="e">
        <f t="shared" si="87"/>
        <v>#VALUE!</v>
      </c>
      <c r="GJ22" s="243" t="e">
        <f t="shared" si="88"/>
        <v>#VALUE!</v>
      </c>
      <c r="GK22" s="240">
        <f t="shared" si="89"/>
        <v>0</v>
      </c>
      <c r="GL22" s="198">
        <f t="shared" si="90"/>
        <v>0</v>
      </c>
      <c r="GM22" s="198">
        <f t="shared" si="91"/>
        <v>0</v>
      </c>
      <c r="GN22" s="240" t="e">
        <f t="shared" si="92"/>
        <v>#VALUE!</v>
      </c>
      <c r="GO22" s="243" t="e">
        <f t="shared" si="93"/>
        <v>#VALUE!</v>
      </c>
      <c r="GP22" s="198" t="e">
        <f t="shared" si="94"/>
        <v>#VALUE!</v>
      </c>
      <c r="GQ22" s="244" t="e">
        <f t="shared" si="95"/>
        <v>#VALUE!</v>
      </c>
      <c r="GR22" s="199" t="e">
        <f t="shared" si="96"/>
        <v>#N/A</v>
      </c>
      <c r="GS22" s="198" t="e">
        <f t="shared" si="97"/>
        <v>#N/A</v>
      </c>
      <c r="GT22" s="198" t="e">
        <f t="shared" si="98"/>
        <v>#N/A</v>
      </c>
      <c r="GU22" s="198" t="e">
        <f t="shared" si="99"/>
        <v>#N/A</v>
      </c>
      <c r="GV22" s="245">
        <f t="shared" si="100"/>
        <v>0</v>
      </c>
      <c r="GW22" s="198">
        <v>170000</v>
      </c>
      <c r="GX22" s="198">
        <v>8</v>
      </c>
      <c r="GY22" s="198">
        <f t="shared" si="101"/>
        <v>50.26548245743669</v>
      </c>
      <c r="GZ22" s="198" t="e">
        <f t="shared" si="102"/>
        <v>#N/A</v>
      </c>
      <c r="HA22" s="198">
        <v>1</v>
      </c>
      <c r="HB22" s="198" t="e">
        <f t="shared" si="103"/>
        <v>#N/A</v>
      </c>
      <c r="HC22" s="198" t="e">
        <f t="shared" si="104"/>
        <v>#N/A</v>
      </c>
      <c r="HD22" s="198" t="e">
        <f t="shared" si="105"/>
        <v>#N/A</v>
      </c>
      <c r="HE22" s="198">
        <f t="shared" si="106"/>
        <v>120</v>
      </c>
      <c r="HF22" s="198">
        <f t="shared" si="106"/>
        <v>120</v>
      </c>
      <c r="HG22" s="198">
        <v>100</v>
      </c>
      <c r="HH22" s="198" t="e">
        <f t="shared" si="107"/>
        <v>#N/A</v>
      </c>
      <c r="HI22" s="198" t="e">
        <f t="shared" si="108"/>
        <v>#N/A</v>
      </c>
      <c r="HJ22" s="198" t="e">
        <f t="shared" si="109"/>
        <v>#N/A</v>
      </c>
      <c r="HK22" s="198" t="e">
        <f t="shared" si="110"/>
        <v>#N/A</v>
      </c>
      <c r="HL22" s="198" t="e">
        <f t="shared" si="111"/>
        <v>#N/A</v>
      </c>
      <c r="HM22" s="198" t="e">
        <f t="shared" si="112"/>
        <v>#N/A</v>
      </c>
      <c r="HN22" s="241" t="e">
        <f>IF(H22="KP-TypJ",INDEX(TW!$O$168:$P$176,MATCH(V22,TW!$N$168:$N$176,0),MATCH(CJ22-0,TW!$O$167:$P$167,0)),IF(OR($H22="KP-11",$H22="KP-12"),$GQ22,$HM22+$GQ22))</f>
        <v>#N/A</v>
      </c>
    </row>
    <row r="23" spans="1:222" x14ac:dyDescent="0.25">
      <c r="A23" s="349"/>
      <c r="B23" s="350"/>
      <c r="C23" s="417"/>
      <c r="D23" s="350"/>
      <c r="E23" s="349"/>
      <c r="F23" s="350"/>
      <c r="G23" s="17"/>
      <c r="H23" s="420"/>
      <c r="I23" s="421"/>
      <c r="J23" s="421"/>
      <c r="K23" s="418"/>
      <c r="L23" s="418"/>
      <c r="M23" s="419"/>
      <c r="N23" s="10"/>
      <c r="O23" s="289"/>
      <c r="P23" s="290"/>
      <c r="Q23" s="13" t="s">
        <v>7</v>
      </c>
      <c r="R23" s="412"/>
      <c r="S23" s="413"/>
      <c r="T23" s="414"/>
      <c r="U23" s="415"/>
      <c r="V23" s="289"/>
      <c r="W23" s="290"/>
      <c r="X23" s="393" t="str">
        <f t="shared" si="7"/>
        <v/>
      </c>
      <c r="Y23" s="394"/>
      <c r="Z23" s="369"/>
      <c r="AA23" s="370"/>
      <c r="AB23" s="397"/>
      <c r="AC23" s="398"/>
      <c r="AD23" s="383"/>
      <c r="AE23" s="384"/>
      <c r="AF23" s="395"/>
      <c r="AG23" s="396"/>
      <c r="AH23" s="230"/>
      <c r="AI23" s="69" t="str">
        <f t="shared" si="8"/>
        <v/>
      </c>
      <c r="AJ23" s="18"/>
      <c r="AK23" s="349"/>
      <c r="AL23" s="350"/>
      <c r="AM23" s="349"/>
      <c r="AN23" s="350"/>
      <c r="AO23" s="318" t="str">
        <f>IF(AND(OR(H23="KP-8",H23="KP-10"),V23&gt;0),VLOOKUP(V23,'.'!$AO$32:$AQ$40,2,FALSE),"")</f>
        <v/>
      </c>
      <c r="AP23" s="319"/>
      <c r="AQ23" s="316" t="str">
        <f>IF(AND(OR(H23="KP-8",H23="KP-10"),V23&gt;0),VLOOKUP(V23,'.'!$AO$32:$AQ$40,3,FALSE),"")</f>
        <v/>
      </c>
      <c r="AR23" s="317"/>
      <c r="AS23" s="339" t="str">
        <f t="shared" si="9"/>
        <v/>
      </c>
      <c r="AT23" s="340"/>
      <c r="AU23" s="314"/>
      <c r="AV23" s="315"/>
      <c r="AW23" s="314"/>
      <c r="AX23" s="315"/>
      <c r="AY23" s="12"/>
      <c r="AZ23" s="291"/>
      <c r="BA23" s="292"/>
      <c r="BB23" s="292"/>
      <c r="BC23" s="293"/>
      <c r="BD23" s="5"/>
      <c r="BE23" s="5"/>
      <c r="BF23" s="128" t="str">
        <f t="shared" si="10"/>
        <v>-</v>
      </c>
      <c r="BG23" s="129" t="str">
        <f t="shared" si="11"/>
        <v>-</v>
      </c>
      <c r="BH23" s="130" t="str">
        <f t="shared" si="12"/>
        <v>-</v>
      </c>
      <c r="BI23" s="130" t="str">
        <f t="shared" si="13"/>
        <v>-</v>
      </c>
      <c r="BJ23" s="136"/>
      <c r="BK23" s="177" t="str">
        <f t="shared" si="14"/>
        <v>-</v>
      </c>
      <c r="BL23" s="136"/>
      <c r="BM23" s="143" t="str">
        <f t="shared" si="15"/>
        <v>-</v>
      </c>
      <c r="BN23" s="143" t="str">
        <f t="shared" si="16"/>
        <v>-</v>
      </c>
      <c r="BQ23" s="225" t="str">
        <f>IF($H23="","leer",VLOOKUP($H23,'.'!$AO$7:$AY$28,2,FALSE))</f>
        <v>leer</v>
      </c>
      <c r="BR23" s="225" t="str">
        <f>IF($H23="","leer",VLOOKUP($H23,'.'!$AO$7:$AY$28,3,FALSE))</f>
        <v>leer</v>
      </c>
      <c r="BS23" s="225" t="str">
        <f>IF($H23="","Dleer.",IF(OR(K23="QD43",K23="QD43q"),"TypQD43D.",IF(OR(K23="QD51",K23="QD51q"),"TypQD51D.",IF(AND($H23='.'!$AO$22,$K23="02"),"TypG02D.",VLOOKUP($H23,'.'!$AO$7:$AY$28,4,FALSE)))))</f>
        <v>Dleer.</v>
      </c>
      <c r="BT23" s="225" t="str">
        <f>IF($H23="","ITleer.",VLOOKUP($H23,'.'!$AO$7:$AY$28,5,FALSE))</f>
        <v>ITleer.</v>
      </c>
      <c r="BU23" s="225" t="str">
        <f>IF($AD23="(PUR)","TypPURIS.",IF($H23="","ISleer.",VLOOKUP($H23,'.'!$AO$7:$AY$28,6,FALSE)))</f>
        <v>ISleer.</v>
      </c>
      <c r="BV23" s="225" t="str">
        <f>IF($H23="","Fleer.",VLOOKUP($H23,'.'!$AO$7:$AY$28,7,FALSE))</f>
        <v>Fleer.</v>
      </c>
      <c r="BW23" s="225" t="str">
        <f>IF($H23="","leer",IF(AH23&lt;T23*100+220,"leer",VLOOKUP($H23,'.'!$AO$7:$AY$28,8,FALSE)))</f>
        <v>leer</v>
      </c>
      <c r="BX23" s="225" t="str">
        <f>IF($H23="","leer",VLOOKUP($H23,'.'!$AO$7:$AY$28,9,FALSE))</f>
        <v>leer</v>
      </c>
      <c r="BY23" s="225" t="str">
        <f>IF($H23="","leer",VLOOKUP($H23,'.'!$AO$7:$AY$28,10,FALSE))</f>
        <v>leer</v>
      </c>
      <c r="BZ23" s="226" t="e">
        <f>INDEX('.'!$AP$43:$BA$53,MATCH(H23,'.'!$AO$43:$AO$53,0),MATCH(K23,'.'!$AP$42:$BA$42,0))</f>
        <v>#N/A</v>
      </c>
      <c r="CA23" s="225" t="str">
        <f>IF($H23="","leer",VLOOKUP($H23,'.'!$AO$7:$AY$28,11,FALSE))</f>
        <v>leer</v>
      </c>
      <c r="CB23" s="225" t="e">
        <f>INDEX('.'!$AP$56:$BA$66,MATCH(H23,'.'!$AO$56:$AO$66,0),MATCH(K23,'.'!$AP$55:$BA$55,0))</f>
        <v>#N/A</v>
      </c>
      <c r="CC23" s="225" t="str">
        <f>IF(OR($H23="",$H23="KP-TypB",$H23="KP-TypC",$H23="KP-TypD",$H23="KP-TypH",$H23="KP-TypJ",$H23="KP-TypK"),"leer",IF(OR($H23="KP-1",$H23="KPE-1",$H23="KP-3",$H23="KPE-3",$H23="KP-11",$H23="KP-12",$H23="KP-TypG"),VLOOKUP(O23,'.'!$BA$7:$BB$15,2,FALSE),IF(OR($H23="KP-2",$H23="KP-7"),VLOOKUP(O23,'.'!$BD$7:$BE$15,2,FALSE),"n0.")))</f>
        <v>leer</v>
      </c>
      <c r="CD23" s="227" t="e">
        <f>INDEX('.'!$AP$69:$BA$79,MATCH(H23,'.'!$AO$69:$AO$79,0),MATCH(K23,'.'!$AP$68:$BA$68,0))</f>
        <v>#N/A</v>
      </c>
      <c r="CF23" s="117" t="e">
        <f>VLOOKUP($H23,TW!$L$54:$M$72,TW!$M$54,FALSE)</f>
        <v>#N/A</v>
      </c>
      <c r="CG23" s="117">
        <f t="shared" si="17"/>
        <v>0</v>
      </c>
      <c r="CH23" s="118">
        <f t="shared" si="18"/>
        <v>0</v>
      </c>
      <c r="CI23" s="118">
        <f t="shared" si="1"/>
        <v>0</v>
      </c>
      <c r="CJ23" s="117">
        <f t="shared" si="19"/>
        <v>0</v>
      </c>
      <c r="CK23" s="117" t="str">
        <f t="shared" si="20"/>
        <v>ø0-0</v>
      </c>
      <c r="CL23" s="122" t="b">
        <f>IF($H23="KP-1",INDEX(TW!$B$54:$J$63,MATCH($CI23,TW!$B$54:$B$63,0),MATCH($CK23,TW!$B$54:$J$54,0)),IF($H23="KPE-1",INDEX(TW!$B$66:$J$74,MATCH($CI23,TW!$B$66:$B$74,0),MATCH($CK23,TW!$B$66:$J$66,0)),IF($H23="KP-3",INDEX(TW!$B$77:$J$86,MATCH($CI23,TW!$B$77:$B$86,0),MATCH($CK23,TW!$B$77:$J$77,0)),IF($H23="KPE-3",INDEX(TW!$B$89:$J$97,MATCH($CI23,TW!$B$89:$B$97,0),MATCH($CK23,TW!$B$89:$J$89,0)),IF(OR($H23="KP-2",$H23="KP-7"),INDEX(TW!$B$100:$V$109,MATCH($CI23,TW!$B$100:$B$109,0),MATCH($CK23,TW!$B$100:$V$100,0)),IF($H23="KP-10",INDEX(TW!$B$121:$F$130,MATCH($CI23,TW!$B$121:$B$130,0),MATCH($CJ23,TW!$B$121:$F$121,0)),IF($H23="KP-11",INDEX(TW!$B$133:$J$141,MATCH($CI23,TW!$B$133:$B$141,0),MATCH($CK23,TW!$B$133:$J$133,0)),IF($H23="KP-12",INDEX(TW!$B$144:$J$152,MATCH($CI23,TW!$B$144:$B$152,0),MATCH($CK23,TW!$B$144:$J$144,0))))))))))</f>
        <v>0</v>
      </c>
      <c r="CM23" s="117" t="e">
        <f>VLOOKUP($CH23,TW!$B$112:$C$118,TW!$C$113,FALSE)</f>
        <v>#N/A</v>
      </c>
      <c r="CN23" s="235">
        <f t="shared" si="21"/>
        <v>0</v>
      </c>
      <c r="CO23" s="122">
        <f t="shared" si="22"/>
        <v>1</v>
      </c>
      <c r="CP23" s="122" t="e">
        <f>$CL23*(VLOOKUP($CH23,TW!$B$112:$D$118,TW!$D$113,FALSE)/INDEX(TW!$F$112:$J$117,MATCH($CH23,TW!$F$112:$F$117,0),MATCH($CJ23,TW!$F$112:$J$112,0)))</f>
        <v>#N/A</v>
      </c>
      <c r="CQ23" s="122" t="b">
        <f t="shared" si="23"/>
        <v>0</v>
      </c>
      <c r="CR23" s="122" t="str">
        <f t="shared" si="24"/>
        <v>leer</v>
      </c>
      <c r="CS23" s="122">
        <f>IF(H23="KP-12",INDEX(TW!$H$42:$L$50,MATCH($CY23,TW!$B$42:$B$50,0),MATCH($CZ23,TW!$B$42:$F$42,0)),0)</f>
        <v>0</v>
      </c>
      <c r="CT23" s="122">
        <f t="shared" si="25"/>
        <v>-60</v>
      </c>
      <c r="CU23" s="122">
        <f t="shared" si="26"/>
        <v>0</v>
      </c>
      <c r="CV23" s="122" t="str">
        <f>IF(H23="KP-TypJ",INDEX(TW!$K$168:$L$176,MATCH(V23,TW!$H$156:$H$164,0),MATCH(AF23-0,TW!$K$167:$L$167,0)),IF($H23="KP-7",$CG23*$CR23,IF(OR($H23="KP-9",$H23="KPE-9"),999,IF(ISNUMBER($CL23),$CL23*$CG23-$CU23,"-"))))</f>
        <v>-</v>
      </c>
      <c r="CW23" s="101" t="e">
        <f>VLOOKUP($H23,TW!$H$13:$I$30,TW!$I$13,FALSE)</f>
        <v>#N/A</v>
      </c>
      <c r="CX23" s="102" t="str">
        <f t="shared" si="27"/>
        <v>leer</v>
      </c>
      <c r="CY23" s="102">
        <f t="shared" si="28"/>
        <v>-60</v>
      </c>
      <c r="CZ23" s="102">
        <f t="shared" si="2"/>
        <v>0</v>
      </c>
      <c r="DA23" s="115" t="e">
        <f>IF($H23="KP-6",INDEX(TW!$B$25:$F$27,MATCH($CY23,TW!$B$25:$B$27,0),MATCH($CZ23,TW!$B$25:$F$25,0)),IF(OR($H23="KP-8",$H23="KP-10"),INDEX(TW!$B$30:$F$39,MATCH($CY23,TW!$B$30:$B$39,0),MATCH($CZ23,TW!$B$30:$F$30,0)),IF(OR($H23="KP-11",$H23="KP-12"),INDEX(TW!$B$42:$F$50,MATCH($CY23,TW!$B$42:$B$50,0),MATCH($CZ23,TW!$B$42:$F$42,0)),INDEX(TW!$B$13:$F$22,MATCH($CY23,TW!$B$13:$B$22,0),MATCH($CZ23,TW!$B$13:$F$13,0)))))</f>
        <v>#N/A</v>
      </c>
      <c r="DB23" s="115" t="str">
        <f>IF(AND(NOT(CZ23=0),OR(K23="QD43",K23="QD43q",K23="QD51",K23="QD51q")),INDEX(TW!$C$156:$F$164,MATCH(V23,TW!$B$156:$B$164,0),MATCH(K23,TW!$C$155:$F$155,0)),IF(AND(ISNUMBER($CX23),ISNUMBER($DA23)),$CX23*$DA23,"-"))</f>
        <v>-</v>
      </c>
      <c r="DC23" s="236" t="str">
        <f t="shared" si="29"/>
        <v>leer</v>
      </c>
      <c r="DD23" s="236" t="str">
        <f t="shared" si="4"/>
        <v>leer</v>
      </c>
      <c r="DE23" s="236" t="e">
        <f>VLOOKUP($DD23,TW!$B$4:$H$9,TW!$H$4,FALSE)</f>
        <v>#N/A</v>
      </c>
      <c r="DF23" s="237">
        <f t="shared" si="30"/>
        <v>0</v>
      </c>
      <c r="DG23" s="82">
        <f t="shared" si="31"/>
        <v>1</v>
      </c>
      <c r="DH23" s="82" t="e">
        <f>VLOOKUP($DD23,TW!$B$4:$H$9,TW!$G$4,FALSE)</f>
        <v>#N/A</v>
      </c>
      <c r="DI23" s="236" t="str">
        <f>IF($AF23="","leer",IF($AF23=60,VLOOKUP($DD23,TW!$B$4:$H$9,TW!$C$4,FALSE),IF($AF23=80,VLOOKUP($DD23,TW!$B$4:$H$9,TW!$D$4,FALSE),IF($AF23=100,VLOOKUP($DD23,TW!$B$4:$H$9,TW!$E$4,FALSE),IF($AF23=120,VLOOKUP($DD23,TW!$B$4:$H$9,TW!$F$4,FALSE),"")))))</f>
        <v>leer</v>
      </c>
      <c r="DJ23" s="82" t="str">
        <f t="shared" si="32"/>
        <v>leer</v>
      </c>
      <c r="DK23" s="82" t="e">
        <f>IF(H23="KP-TypH",INDEX(TW!$C$168:$D$176,MATCH(V23,TW!$B$168:$B$176,0),MATCH(CJ23-0,TW!$C$167:$D$167,0)),IF(H23="KP-TypJ",INDEX(TW!$G$168:$H$176,MATCH(V23,TW!$F$168:$F$176,0),MATCH(CJ23-0,TW!$G$167:$H$167,0)),$DJ23*$DC23))</f>
        <v>#VALUE!</v>
      </c>
      <c r="DL23" s="77" t="str">
        <f>IF(AND(NOT(CZ23=0),OR(K23="QD43",K23="QD43q",K23="QD51",K23="QD51q")),INDEX(TW!$I$156:$L$164,MATCH(V23,TW!$H$156:$H$164,0),MATCH(K23,TW!$I$155:$L$155,0)),IF(OR(AND($H23="KP-TypG",$K23="02")),100,IF(OR($AU23="x",AND($H23="KP-TypG",$K23="01")),50,"-")))</f>
        <v>-</v>
      </c>
      <c r="DN23" s="171">
        <f t="shared" si="33"/>
        <v>0</v>
      </c>
      <c r="DO23" s="238">
        <f>IF(ISBLANK($AD23),0,INDEX(BP!$B$3:$C$8,MATCH($AD23,BP!$B$3:$B$8,0),2))</f>
        <v>0</v>
      </c>
      <c r="DP23" s="170">
        <f t="shared" si="34"/>
        <v>0</v>
      </c>
      <c r="DQ23" s="163">
        <f t="shared" si="35"/>
        <v>0</v>
      </c>
      <c r="DR23" s="163">
        <f t="shared" si="36"/>
        <v>0</v>
      </c>
      <c r="DS23" s="169">
        <f>INDEX(BP!$B$3:$C$8,6,2)</f>
        <v>0.17499999999999999</v>
      </c>
      <c r="DT23" s="162">
        <f t="shared" si="37"/>
        <v>0</v>
      </c>
      <c r="DU23" s="163">
        <f t="shared" si="38"/>
        <v>0</v>
      </c>
      <c r="DV23" s="170">
        <f t="shared" si="39"/>
        <v>0</v>
      </c>
      <c r="DW23" s="170" t="e">
        <f>INDEX(BP!$B$12:$F$29,MATCH($H23,BP!$B$12:$B$29,0),3)</f>
        <v>#N/A</v>
      </c>
      <c r="DX23" s="170" t="e">
        <f>INDEX(BP!$B$12:$F$29,MATCH($H23,BP!$B$12:$B$29,0),4)</f>
        <v>#N/A</v>
      </c>
      <c r="DY23" s="169" t="e">
        <f t="shared" si="40"/>
        <v>#N/A</v>
      </c>
      <c r="DZ23" s="169" t="e">
        <f t="shared" si="41"/>
        <v>#N/A</v>
      </c>
      <c r="EA23" s="169" t="e">
        <f t="shared" si="42"/>
        <v>#N/A</v>
      </c>
      <c r="EB23" s="169" t="str">
        <f t="shared" si="43"/>
        <v>-</v>
      </c>
      <c r="EC23" s="169" t="e">
        <f t="shared" si="44"/>
        <v>#VALUE!</v>
      </c>
      <c r="ED23" s="169">
        <f>IF(OR(K23="QD43",K23="QD43q"),BP!$C$92,IF(OR(K23="QD51",K23="QD51q"),BP!$C$94,15))</f>
        <v>15</v>
      </c>
      <c r="EE23" s="163">
        <f>IF(OR(K23="QD43",K23="QD43q"),BP!$D$92,IF(OR(K23="QD51",K23="QD51q"),BP!$D$94,IF($DV23=0,0,IF($DW23="SP",$EA23*$DV23,$DV23*$EC23))))</f>
        <v>0</v>
      </c>
      <c r="EF23" s="163">
        <f t="shared" si="45"/>
        <v>0</v>
      </c>
      <c r="EG23" s="169">
        <f t="shared" si="46"/>
        <v>0</v>
      </c>
      <c r="EH23" s="170">
        <f t="shared" si="47"/>
        <v>1100</v>
      </c>
      <c r="EI23" s="169">
        <v>15</v>
      </c>
      <c r="EJ23" s="162">
        <f t="shared" si="48"/>
        <v>0</v>
      </c>
      <c r="EK23" s="162">
        <f t="shared" si="49"/>
        <v>0</v>
      </c>
      <c r="EL23" s="169" t="b">
        <f t="shared" si="50"/>
        <v>0</v>
      </c>
      <c r="EM23" s="239" t="b">
        <f t="shared" si="51"/>
        <v>0</v>
      </c>
      <c r="EN23" s="169">
        <f t="shared" si="52"/>
        <v>0</v>
      </c>
      <c r="EO23" s="169" t="e">
        <f>INDEX(BP!$B$12:$F$29,MATCH($H23,BP!$B$12:$B$29,0),5)</f>
        <v>#N/A</v>
      </c>
      <c r="EP23" s="162">
        <f t="shared" si="53"/>
        <v>0</v>
      </c>
      <c r="EQ23" s="162" t="e">
        <f t="shared" si="54"/>
        <v>#N/A</v>
      </c>
      <c r="ER23" s="169" t="e">
        <f>INDEX(BP!$B$12:$F$29,MATCH($H23,BP!$B$12:$B$29,0),2)</f>
        <v>#N/A</v>
      </c>
      <c r="ES23" s="169" t="str">
        <f>IF(OR($H23="KP-1",$H23="KPE-1",$H23="KP-11"),INDEX(BP!$B$32:$F$41,MATCH($V23,BP!$B$32:$B$41,0),MATCH($AF23,BP!$B$32:$F$32,0)),IF(OR($H23="KP-3",$H23="KPE-3"),INDEX(BP!$B$44:$F$53,MATCH($V23,BP!$B$44:$B$53,0),MATCH($AF23,BP!$B$44:$F$44,0)),"DS"))</f>
        <v>DS</v>
      </c>
      <c r="ET23" s="169" t="b">
        <f t="shared" si="55"/>
        <v>0</v>
      </c>
      <c r="EU23" s="169" t="e">
        <f>INDEX(BP!$B$64:$D$66,MATCH($EM23,BP!$B$64:$B$66,0),2)</f>
        <v>#N/A</v>
      </c>
      <c r="EV23" s="169" t="e">
        <f>IF($H23="KP-11",INDEX(BP!$B$64:$D$74,MATCH($K23,BP!$B$64:$B$74,0),3),$ET23*$EU23)</f>
        <v>#N/A</v>
      </c>
      <c r="EW23" s="169" t="e">
        <f>INDEX(BP!$B$57:$D$60,MATCH($ES23,BP!$B$57:$B$60,0),3)</f>
        <v>#N/A</v>
      </c>
      <c r="EX23" s="169" t="e">
        <f>INDEX(BP!$B$57:$D$60,MATCH($ES23,BP!$B$57:$B$60,0),2)</f>
        <v>#N/A</v>
      </c>
      <c r="EY23" s="163" t="e">
        <f t="shared" si="56"/>
        <v>#N/A</v>
      </c>
      <c r="EZ23" s="163" t="e">
        <f t="shared" si="57"/>
        <v>#N/A</v>
      </c>
      <c r="FA23" s="158" t="b">
        <f t="shared" si="58"/>
        <v>0</v>
      </c>
      <c r="FB23" s="158">
        <f t="shared" si="59"/>
        <v>0</v>
      </c>
      <c r="FC23" s="159">
        <f t="shared" si="60"/>
        <v>0</v>
      </c>
      <c r="FE23" s="240">
        <f t="shared" si="61"/>
        <v>0</v>
      </c>
      <c r="FF23" s="240">
        <f t="shared" si="62"/>
        <v>0</v>
      </c>
      <c r="FG23" s="198" t="str">
        <f t="shared" si="63"/>
        <v>-</v>
      </c>
      <c r="FH23" s="198" t="str">
        <f t="shared" si="64"/>
        <v>-</v>
      </c>
      <c r="FI23" s="198" t="b">
        <f t="shared" si="65"/>
        <v>0</v>
      </c>
      <c r="FJ23" s="198" t="str">
        <f t="shared" si="66"/>
        <v>DS</v>
      </c>
      <c r="FK23" s="198" t="b">
        <f t="shared" si="67"/>
        <v>0</v>
      </c>
      <c r="FL23" s="198" t="str">
        <f t="shared" si="68"/>
        <v>-</v>
      </c>
      <c r="FM23" s="241" t="e">
        <f t="shared" si="69"/>
        <v>#VALUE!</v>
      </c>
      <c r="FN23" s="198">
        <f t="shared" si="70"/>
        <v>170000</v>
      </c>
      <c r="FO23" s="198" t="b">
        <f t="shared" si="71"/>
        <v>0</v>
      </c>
      <c r="FP23" s="198" t="str">
        <f t="shared" si="72"/>
        <v>-</v>
      </c>
      <c r="FQ23" s="198" t="str">
        <f t="shared" si="73"/>
        <v>-</v>
      </c>
      <c r="FR23" s="198">
        <f t="shared" si="74"/>
        <v>0</v>
      </c>
      <c r="FS23" s="198">
        <f t="shared" si="75"/>
        <v>0</v>
      </c>
      <c r="FT23" s="198">
        <f t="shared" si="76"/>
        <v>565.21739130434787</v>
      </c>
      <c r="FU23" s="242" t="e">
        <f>IF($FJ23="DS",INDEX(BP!$B$77:$F$87,MATCH($FI23,BP!$B$77:$B$87,0),MATCH($FF23,BP!$B$77:$F$77,0)),INDEX(BP!$B$77:$F$87,MATCH($FJ23,BP!$B$77:$B$87,0),MATCH($FF23,BP!$B$77:$F$77,0)))</f>
        <v>#N/A</v>
      </c>
      <c r="FV23" s="198" t="e">
        <f t="shared" si="77"/>
        <v>#N/A</v>
      </c>
      <c r="FW23" s="198">
        <f t="shared" si="78"/>
        <v>170000</v>
      </c>
      <c r="FX23" s="198">
        <v>20</v>
      </c>
      <c r="FY23" s="198">
        <v>35000</v>
      </c>
      <c r="FZ23" s="198">
        <v>1</v>
      </c>
      <c r="GA23" s="198" t="e">
        <f t="shared" si="79"/>
        <v>#VALUE!</v>
      </c>
      <c r="GB23" s="198" t="e">
        <f t="shared" si="80"/>
        <v>#VALUE!</v>
      </c>
      <c r="GC23" s="198" t="e">
        <f t="shared" si="81"/>
        <v>#VALUE!</v>
      </c>
      <c r="GD23" s="240">
        <f t="shared" si="82"/>
        <v>0</v>
      </c>
      <c r="GE23" s="242" t="e">
        <f t="shared" si="83"/>
        <v>#VALUE!</v>
      </c>
      <c r="GF23" s="242" t="e">
        <f t="shared" si="84"/>
        <v>#VALUE!</v>
      </c>
      <c r="GG23" s="242" t="e">
        <f t="shared" si="85"/>
        <v>#VALUE!</v>
      </c>
      <c r="GH23" s="243" t="e">
        <f t="shared" si="86"/>
        <v>#VALUE!</v>
      </c>
      <c r="GI23" s="243" t="e">
        <f t="shared" si="87"/>
        <v>#VALUE!</v>
      </c>
      <c r="GJ23" s="243" t="e">
        <f t="shared" si="88"/>
        <v>#VALUE!</v>
      </c>
      <c r="GK23" s="240">
        <f t="shared" si="89"/>
        <v>0</v>
      </c>
      <c r="GL23" s="198">
        <f t="shared" si="90"/>
        <v>0</v>
      </c>
      <c r="GM23" s="198">
        <f t="shared" si="91"/>
        <v>0</v>
      </c>
      <c r="GN23" s="240" t="e">
        <f t="shared" si="92"/>
        <v>#VALUE!</v>
      </c>
      <c r="GO23" s="243" t="e">
        <f t="shared" si="93"/>
        <v>#VALUE!</v>
      </c>
      <c r="GP23" s="198" t="e">
        <f t="shared" si="94"/>
        <v>#VALUE!</v>
      </c>
      <c r="GQ23" s="244" t="e">
        <f t="shared" si="95"/>
        <v>#VALUE!</v>
      </c>
      <c r="GR23" s="199" t="e">
        <f t="shared" si="96"/>
        <v>#N/A</v>
      </c>
      <c r="GS23" s="198" t="e">
        <f t="shared" si="97"/>
        <v>#N/A</v>
      </c>
      <c r="GT23" s="198" t="e">
        <f t="shared" si="98"/>
        <v>#N/A</v>
      </c>
      <c r="GU23" s="198" t="e">
        <f t="shared" si="99"/>
        <v>#N/A</v>
      </c>
      <c r="GV23" s="245">
        <f t="shared" si="100"/>
        <v>0</v>
      </c>
      <c r="GW23" s="198">
        <v>170000</v>
      </c>
      <c r="GX23" s="198">
        <v>8</v>
      </c>
      <c r="GY23" s="198">
        <f t="shared" si="101"/>
        <v>50.26548245743669</v>
      </c>
      <c r="GZ23" s="198" t="e">
        <f t="shared" si="102"/>
        <v>#N/A</v>
      </c>
      <c r="HA23" s="198">
        <v>1</v>
      </c>
      <c r="HB23" s="198" t="e">
        <f t="shared" si="103"/>
        <v>#N/A</v>
      </c>
      <c r="HC23" s="198" t="e">
        <f t="shared" si="104"/>
        <v>#N/A</v>
      </c>
      <c r="HD23" s="198" t="e">
        <f t="shared" si="105"/>
        <v>#N/A</v>
      </c>
      <c r="HE23" s="198">
        <f t="shared" si="106"/>
        <v>120</v>
      </c>
      <c r="HF23" s="198">
        <f t="shared" si="106"/>
        <v>120</v>
      </c>
      <c r="HG23" s="198">
        <v>100</v>
      </c>
      <c r="HH23" s="198" t="e">
        <f t="shared" si="107"/>
        <v>#N/A</v>
      </c>
      <c r="HI23" s="198" t="e">
        <f t="shared" si="108"/>
        <v>#N/A</v>
      </c>
      <c r="HJ23" s="198" t="e">
        <f t="shared" si="109"/>
        <v>#N/A</v>
      </c>
      <c r="HK23" s="198" t="e">
        <f t="shared" si="110"/>
        <v>#N/A</v>
      </c>
      <c r="HL23" s="198" t="e">
        <f t="shared" si="111"/>
        <v>#N/A</v>
      </c>
      <c r="HM23" s="198" t="e">
        <f t="shared" si="112"/>
        <v>#N/A</v>
      </c>
      <c r="HN23" s="241" t="e">
        <f>IF(H23="KP-TypJ",INDEX(TW!$O$168:$P$176,MATCH(V23,TW!$N$168:$N$176,0),MATCH(CJ23-0,TW!$O$167:$P$167,0)),IF(OR($H23="KP-11",$H23="KP-12"),$GQ23,$HM23+$GQ23))</f>
        <v>#N/A</v>
      </c>
    </row>
    <row r="24" spans="1:222" x14ac:dyDescent="0.25">
      <c r="A24" s="349"/>
      <c r="B24" s="350"/>
      <c r="C24" s="417"/>
      <c r="D24" s="350"/>
      <c r="E24" s="349"/>
      <c r="F24" s="350"/>
      <c r="G24" s="17"/>
      <c r="H24" s="420"/>
      <c r="I24" s="421"/>
      <c r="J24" s="421"/>
      <c r="K24" s="418"/>
      <c r="L24" s="418"/>
      <c r="M24" s="419"/>
      <c r="N24" s="10"/>
      <c r="O24" s="289"/>
      <c r="P24" s="290"/>
      <c r="Q24" s="13" t="s">
        <v>7</v>
      </c>
      <c r="R24" s="412"/>
      <c r="S24" s="413"/>
      <c r="T24" s="414"/>
      <c r="U24" s="415"/>
      <c r="V24" s="289"/>
      <c r="W24" s="290"/>
      <c r="X24" s="393" t="str">
        <f t="shared" si="7"/>
        <v/>
      </c>
      <c r="Y24" s="394"/>
      <c r="Z24" s="369"/>
      <c r="AA24" s="370"/>
      <c r="AB24" s="397"/>
      <c r="AC24" s="398"/>
      <c r="AD24" s="383"/>
      <c r="AE24" s="384"/>
      <c r="AF24" s="395"/>
      <c r="AG24" s="396"/>
      <c r="AH24" s="230"/>
      <c r="AI24" s="69" t="str">
        <f t="shared" si="8"/>
        <v/>
      </c>
      <c r="AJ24" s="18"/>
      <c r="AK24" s="349"/>
      <c r="AL24" s="350"/>
      <c r="AM24" s="349"/>
      <c r="AN24" s="350"/>
      <c r="AO24" s="318" t="str">
        <f>IF(AND(OR(H24="KP-8",H24="KP-10"),V24&gt;0),VLOOKUP(V24,'.'!$AO$32:$AQ$40,2,FALSE),"")</f>
        <v/>
      </c>
      <c r="AP24" s="319"/>
      <c r="AQ24" s="316" t="str">
        <f>IF(AND(OR(H24="KP-8",H24="KP-10"),V24&gt;0),VLOOKUP(V24,'.'!$AO$32:$AQ$40,3,FALSE),"")</f>
        <v/>
      </c>
      <c r="AR24" s="317"/>
      <c r="AS24" s="339" t="str">
        <f t="shared" si="9"/>
        <v/>
      </c>
      <c r="AT24" s="340"/>
      <c r="AU24" s="314"/>
      <c r="AV24" s="315"/>
      <c r="AW24" s="314"/>
      <c r="AX24" s="315"/>
      <c r="AY24" s="12"/>
      <c r="AZ24" s="291"/>
      <c r="BA24" s="292"/>
      <c r="BB24" s="292"/>
      <c r="BC24" s="293"/>
      <c r="BD24" s="5"/>
      <c r="BE24" s="5"/>
      <c r="BF24" s="128" t="str">
        <f t="shared" si="10"/>
        <v>-</v>
      </c>
      <c r="BG24" s="129" t="str">
        <f t="shared" si="11"/>
        <v>-</v>
      </c>
      <c r="BH24" s="130" t="str">
        <f t="shared" si="12"/>
        <v>-</v>
      </c>
      <c r="BI24" s="130" t="str">
        <f t="shared" si="13"/>
        <v>-</v>
      </c>
      <c r="BJ24" s="136"/>
      <c r="BK24" s="177" t="str">
        <f t="shared" si="14"/>
        <v>-</v>
      </c>
      <c r="BL24" s="136"/>
      <c r="BM24" s="143" t="str">
        <f t="shared" si="15"/>
        <v>-</v>
      </c>
      <c r="BN24" s="143" t="str">
        <f t="shared" si="16"/>
        <v>-</v>
      </c>
      <c r="BQ24" s="225" t="str">
        <f>IF($H24="","leer",VLOOKUP($H24,'.'!$AO$7:$AY$28,2,FALSE))</f>
        <v>leer</v>
      </c>
      <c r="BR24" s="225" t="str">
        <f>IF($H24="","leer",VLOOKUP($H24,'.'!$AO$7:$AY$28,3,FALSE))</f>
        <v>leer</v>
      </c>
      <c r="BS24" s="225" t="str">
        <f>IF($H24="","Dleer.",IF(OR(K24="QD43",K24="QD43q"),"TypQD43D.",IF(OR(K24="QD51",K24="QD51q"),"TypQD51D.",IF(AND($H24='.'!$AO$22,$K24="02"),"TypG02D.",VLOOKUP($H24,'.'!$AO$7:$AY$28,4,FALSE)))))</f>
        <v>Dleer.</v>
      </c>
      <c r="BT24" s="225" t="str">
        <f>IF($H24="","ITleer.",VLOOKUP($H24,'.'!$AO$7:$AY$28,5,FALSE))</f>
        <v>ITleer.</v>
      </c>
      <c r="BU24" s="225" t="str">
        <f>IF($AD24="(PUR)","TypPURIS.",IF($H24="","ISleer.",VLOOKUP($H24,'.'!$AO$7:$AY$28,6,FALSE)))</f>
        <v>ISleer.</v>
      </c>
      <c r="BV24" s="225" t="str">
        <f>IF($H24="","Fleer.",VLOOKUP($H24,'.'!$AO$7:$AY$28,7,FALSE))</f>
        <v>Fleer.</v>
      </c>
      <c r="BW24" s="225" t="str">
        <f>IF($H24="","leer",IF(AH24&lt;T24*100+220,"leer",VLOOKUP($H24,'.'!$AO$7:$AY$28,8,FALSE)))</f>
        <v>leer</v>
      </c>
      <c r="BX24" s="225" t="str">
        <f>IF($H24="","leer",VLOOKUP($H24,'.'!$AO$7:$AY$28,9,FALSE))</f>
        <v>leer</v>
      </c>
      <c r="BY24" s="225" t="str">
        <f>IF($H24="","leer",VLOOKUP($H24,'.'!$AO$7:$AY$28,10,FALSE))</f>
        <v>leer</v>
      </c>
      <c r="BZ24" s="226" t="e">
        <f>INDEX('.'!$AP$43:$BA$53,MATCH(H24,'.'!$AO$43:$AO$53,0),MATCH(K24,'.'!$AP$42:$BA$42,0))</f>
        <v>#N/A</v>
      </c>
      <c r="CA24" s="225" t="str">
        <f>IF($H24="","leer",VLOOKUP($H24,'.'!$AO$7:$AY$28,11,FALSE))</f>
        <v>leer</v>
      </c>
      <c r="CB24" s="225" t="e">
        <f>INDEX('.'!$AP$56:$BA$66,MATCH(H24,'.'!$AO$56:$AO$66,0),MATCH(K24,'.'!$AP$55:$BA$55,0))</f>
        <v>#N/A</v>
      </c>
      <c r="CC24" s="225" t="str">
        <f>IF(OR($H24="",$H24="KP-TypB",$H24="KP-TypC",$H24="KP-TypD",$H24="KP-TypH",$H24="KP-TypJ",$H24="KP-TypK"),"leer",IF(OR($H24="KP-1",$H24="KPE-1",$H24="KP-3",$H24="KPE-3",$H24="KP-11",$H24="KP-12",$H24="KP-TypG"),VLOOKUP(O24,'.'!$BA$7:$BB$15,2,FALSE),IF(OR($H24="KP-2",$H24="KP-7"),VLOOKUP(O24,'.'!$BD$7:$BE$15,2,FALSE),"n0.")))</f>
        <v>leer</v>
      </c>
      <c r="CD24" s="227" t="e">
        <f>INDEX('.'!$AP$69:$BA$79,MATCH(H24,'.'!$AO$69:$AO$79,0),MATCH(K24,'.'!$AP$68:$BA$68,0))</f>
        <v>#N/A</v>
      </c>
      <c r="CF24" s="117" t="e">
        <f>VLOOKUP($H24,TW!$L$54:$M$72,TW!$M$54,FALSE)</f>
        <v>#N/A</v>
      </c>
      <c r="CG24" s="117">
        <f t="shared" si="17"/>
        <v>0</v>
      </c>
      <c r="CH24" s="118">
        <f t="shared" si="18"/>
        <v>0</v>
      </c>
      <c r="CI24" s="118">
        <f t="shared" si="1"/>
        <v>0</v>
      </c>
      <c r="CJ24" s="117">
        <f t="shared" si="19"/>
        <v>0</v>
      </c>
      <c r="CK24" s="117" t="str">
        <f t="shared" si="20"/>
        <v>ø0-0</v>
      </c>
      <c r="CL24" s="122" t="b">
        <f>IF($H24="KP-1",INDEX(TW!$B$54:$J$63,MATCH($CI24,TW!$B$54:$B$63,0),MATCH($CK24,TW!$B$54:$J$54,0)),IF($H24="KPE-1",INDEX(TW!$B$66:$J$74,MATCH($CI24,TW!$B$66:$B$74,0),MATCH($CK24,TW!$B$66:$J$66,0)),IF($H24="KP-3",INDEX(TW!$B$77:$J$86,MATCH($CI24,TW!$B$77:$B$86,0),MATCH($CK24,TW!$B$77:$J$77,0)),IF($H24="KPE-3",INDEX(TW!$B$89:$J$97,MATCH($CI24,TW!$B$89:$B$97,0),MATCH($CK24,TW!$B$89:$J$89,0)),IF(OR($H24="KP-2",$H24="KP-7"),INDEX(TW!$B$100:$V$109,MATCH($CI24,TW!$B$100:$B$109,0),MATCH($CK24,TW!$B$100:$V$100,0)),IF($H24="KP-10",INDEX(TW!$B$121:$F$130,MATCH($CI24,TW!$B$121:$B$130,0),MATCH($CJ24,TW!$B$121:$F$121,0)),IF($H24="KP-11",INDEX(TW!$B$133:$J$141,MATCH($CI24,TW!$B$133:$B$141,0),MATCH($CK24,TW!$B$133:$J$133,0)),IF($H24="KP-12",INDEX(TW!$B$144:$J$152,MATCH($CI24,TW!$B$144:$B$152,0),MATCH($CK24,TW!$B$144:$J$144,0))))))))))</f>
        <v>0</v>
      </c>
      <c r="CM24" s="117" t="e">
        <f>VLOOKUP($CH24,TW!$B$112:$C$118,TW!$C$113,FALSE)</f>
        <v>#N/A</v>
      </c>
      <c r="CN24" s="235">
        <f t="shared" si="21"/>
        <v>0</v>
      </c>
      <c r="CO24" s="122">
        <f t="shared" si="22"/>
        <v>1</v>
      </c>
      <c r="CP24" s="122" t="e">
        <f>$CL24*(VLOOKUP($CH24,TW!$B$112:$D$118,TW!$D$113,FALSE)/INDEX(TW!$F$112:$J$117,MATCH($CH24,TW!$F$112:$F$117,0),MATCH($CJ24,TW!$F$112:$J$112,0)))</f>
        <v>#N/A</v>
      </c>
      <c r="CQ24" s="122" t="b">
        <f t="shared" si="23"/>
        <v>0</v>
      </c>
      <c r="CR24" s="122" t="str">
        <f t="shared" si="24"/>
        <v>leer</v>
      </c>
      <c r="CS24" s="122">
        <f>IF(H24="KP-12",INDEX(TW!$H$42:$L$50,MATCH($CY24,TW!$B$42:$B$50,0),MATCH($CZ24,TW!$B$42:$F$42,0)),0)</f>
        <v>0</v>
      </c>
      <c r="CT24" s="122">
        <f t="shared" si="25"/>
        <v>-60</v>
      </c>
      <c r="CU24" s="122">
        <f t="shared" si="26"/>
        <v>0</v>
      </c>
      <c r="CV24" s="122" t="str">
        <f>IF(H24="KP-TypJ",INDEX(TW!$K$168:$L$176,MATCH(V24,TW!$H$156:$H$164,0),MATCH(AF24-0,TW!$K$167:$L$167,0)),IF($H24="KP-7",$CG24*$CR24,IF(OR($H24="KP-9",$H24="KPE-9"),999,IF(ISNUMBER($CL24),$CL24*$CG24-$CU24,"-"))))</f>
        <v>-</v>
      </c>
      <c r="CW24" s="101" t="e">
        <f>VLOOKUP($H24,TW!$H$13:$I$30,TW!$I$13,FALSE)</f>
        <v>#N/A</v>
      </c>
      <c r="CX24" s="102" t="str">
        <f t="shared" si="27"/>
        <v>leer</v>
      </c>
      <c r="CY24" s="102">
        <f t="shared" si="28"/>
        <v>-60</v>
      </c>
      <c r="CZ24" s="102">
        <f t="shared" si="2"/>
        <v>0</v>
      </c>
      <c r="DA24" s="115" t="e">
        <f>IF($H24="KP-6",INDEX(TW!$B$25:$F$27,MATCH($CY24,TW!$B$25:$B$27,0),MATCH($CZ24,TW!$B$25:$F$25,0)),IF(OR($H24="KP-8",$H24="KP-10"),INDEX(TW!$B$30:$F$39,MATCH($CY24,TW!$B$30:$B$39,0),MATCH($CZ24,TW!$B$30:$F$30,0)),IF(OR($H24="KP-11",$H24="KP-12"),INDEX(TW!$B$42:$F$50,MATCH($CY24,TW!$B$42:$B$50,0),MATCH($CZ24,TW!$B$42:$F$42,0)),INDEX(TW!$B$13:$F$22,MATCH($CY24,TW!$B$13:$B$22,0),MATCH($CZ24,TW!$B$13:$F$13,0)))))</f>
        <v>#N/A</v>
      </c>
      <c r="DB24" s="115" t="str">
        <f>IF(AND(NOT(CZ24=0),OR(K24="QD43",K24="QD43q",K24="QD51",K24="QD51q")),INDEX(TW!$C$156:$F$164,MATCH(V24,TW!$B$156:$B$164,0),MATCH(K24,TW!$C$155:$F$155,0)),IF(AND(ISNUMBER($CX24),ISNUMBER($DA24)),$CX24*$DA24,"-"))</f>
        <v>-</v>
      </c>
      <c r="DC24" s="236" t="str">
        <f t="shared" si="29"/>
        <v>leer</v>
      </c>
      <c r="DD24" s="236" t="str">
        <f t="shared" si="4"/>
        <v>leer</v>
      </c>
      <c r="DE24" s="236" t="e">
        <f>VLOOKUP($DD24,TW!$B$4:$H$9,TW!$H$4,FALSE)</f>
        <v>#N/A</v>
      </c>
      <c r="DF24" s="237">
        <f t="shared" si="30"/>
        <v>0</v>
      </c>
      <c r="DG24" s="82">
        <f t="shared" si="31"/>
        <v>1</v>
      </c>
      <c r="DH24" s="82" t="e">
        <f>VLOOKUP($DD24,TW!$B$4:$H$9,TW!$G$4,FALSE)</f>
        <v>#N/A</v>
      </c>
      <c r="DI24" s="236" t="str">
        <f>IF($AF24="","leer",IF($AF24=60,VLOOKUP($DD24,TW!$B$4:$H$9,TW!$C$4,FALSE),IF($AF24=80,VLOOKUP($DD24,TW!$B$4:$H$9,TW!$D$4,FALSE),IF($AF24=100,VLOOKUP($DD24,TW!$B$4:$H$9,TW!$E$4,FALSE),IF($AF24=120,VLOOKUP($DD24,TW!$B$4:$H$9,TW!$F$4,FALSE),"")))))</f>
        <v>leer</v>
      </c>
      <c r="DJ24" s="82" t="str">
        <f t="shared" si="32"/>
        <v>leer</v>
      </c>
      <c r="DK24" s="82" t="e">
        <f>IF(H24="KP-TypH",INDEX(TW!$C$168:$D$176,MATCH(V24,TW!$B$168:$B$176,0),MATCH(CJ24-0,TW!$C$167:$D$167,0)),IF(H24="KP-TypJ",INDEX(TW!$G$168:$H$176,MATCH(V24,TW!$F$168:$F$176,0),MATCH(CJ24-0,TW!$G$167:$H$167,0)),$DJ24*$DC24))</f>
        <v>#VALUE!</v>
      </c>
      <c r="DL24" s="77" t="str">
        <f>IF(AND(NOT(CZ24=0),OR(K24="QD43",K24="QD43q",K24="QD51",K24="QD51q")),INDEX(TW!$I$156:$L$164,MATCH(V24,TW!$H$156:$H$164,0),MATCH(K24,TW!$I$155:$L$155,0)),IF(OR(AND($H24="KP-TypG",$K24="02")),100,IF(OR($AU24="x",AND($H24="KP-TypG",$K24="01")),50,"-")))</f>
        <v>-</v>
      </c>
      <c r="DN24" s="171">
        <f t="shared" si="33"/>
        <v>0</v>
      </c>
      <c r="DO24" s="238">
        <f>IF(ISBLANK($AD24),0,INDEX(BP!$B$3:$C$8,MATCH($AD24,BP!$B$3:$B$8,0),2))</f>
        <v>0</v>
      </c>
      <c r="DP24" s="170">
        <f t="shared" si="34"/>
        <v>0</v>
      </c>
      <c r="DQ24" s="163">
        <f t="shared" si="35"/>
        <v>0</v>
      </c>
      <c r="DR24" s="163">
        <f t="shared" si="36"/>
        <v>0</v>
      </c>
      <c r="DS24" s="169">
        <f>INDEX(BP!$B$3:$C$8,6,2)</f>
        <v>0.17499999999999999</v>
      </c>
      <c r="DT24" s="162">
        <f t="shared" si="37"/>
        <v>0</v>
      </c>
      <c r="DU24" s="163">
        <f t="shared" si="38"/>
        <v>0</v>
      </c>
      <c r="DV24" s="170">
        <f t="shared" si="39"/>
        <v>0</v>
      </c>
      <c r="DW24" s="170" t="e">
        <f>INDEX(BP!$B$12:$F$29,MATCH($H24,BP!$B$12:$B$29,0),3)</f>
        <v>#N/A</v>
      </c>
      <c r="DX24" s="170" t="e">
        <f>INDEX(BP!$B$12:$F$29,MATCH($H24,BP!$B$12:$B$29,0),4)</f>
        <v>#N/A</v>
      </c>
      <c r="DY24" s="169" t="e">
        <f t="shared" si="40"/>
        <v>#N/A</v>
      </c>
      <c r="DZ24" s="169" t="e">
        <f t="shared" si="41"/>
        <v>#N/A</v>
      </c>
      <c r="EA24" s="169" t="e">
        <f t="shared" si="42"/>
        <v>#N/A</v>
      </c>
      <c r="EB24" s="169" t="str">
        <f t="shared" si="43"/>
        <v>-</v>
      </c>
      <c r="EC24" s="169" t="e">
        <f t="shared" si="44"/>
        <v>#VALUE!</v>
      </c>
      <c r="ED24" s="169">
        <f>IF(OR(K24="QD43",K24="QD43q"),BP!$C$92,IF(OR(K24="QD51",K24="QD51q"),BP!$C$94,15))</f>
        <v>15</v>
      </c>
      <c r="EE24" s="163">
        <f>IF(OR(K24="QD43",K24="QD43q"),BP!$D$92,IF(OR(K24="QD51",K24="QD51q"),BP!$D$94,IF($DV24=0,0,IF($DW24="SP",$EA24*$DV24,$DV24*$EC24))))</f>
        <v>0</v>
      </c>
      <c r="EF24" s="163">
        <f t="shared" si="45"/>
        <v>0</v>
      </c>
      <c r="EG24" s="169">
        <f t="shared" si="46"/>
        <v>0</v>
      </c>
      <c r="EH24" s="170">
        <f t="shared" si="47"/>
        <v>1100</v>
      </c>
      <c r="EI24" s="169">
        <v>15</v>
      </c>
      <c r="EJ24" s="162">
        <f t="shared" si="48"/>
        <v>0</v>
      </c>
      <c r="EK24" s="162">
        <f t="shared" si="49"/>
        <v>0</v>
      </c>
      <c r="EL24" s="169" t="b">
        <f t="shared" si="50"/>
        <v>0</v>
      </c>
      <c r="EM24" s="239" t="b">
        <f t="shared" si="51"/>
        <v>0</v>
      </c>
      <c r="EN24" s="169">
        <f t="shared" si="52"/>
        <v>0</v>
      </c>
      <c r="EO24" s="169" t="e">
        <f>INDEX(BP!$B$12:$F$29,MATCH($H24,BP!$B$12:$B$29,0),5)</f>
        <v>#N/A</v>
      </c>
      <c r="EP24" s="162">
        <f t="shared" si="53"/>
        <v>0</v>
      </c>
      <c r="EQ24" s="162" t="e">
        <f t="shared" si="54"/>
        <v>#N/A</v>
      </c>
      <c r="ER24" s="169" t="e">
        <f>INDEX(BP!$B$12:$F$29,MATCH($H24,BP!$B$12:$B$29,0),2)</f>
        <v>#N/A</v>
      </c>
      <c r="ES24" s="169" t="str">
        <f>IF(OR($H24="KP-1",$H24="KPE-1",$H24="KP-11"),INDEX(BP!$B$32:$F$41,MATCH($V24,BP!$B$32:$B$41,0),MATCH($AF24,BP!$B$32:$F$32,0)),IF(OR($H24="KP-3",$H24="KPE-3"),INDEX(BP!$B$44:$F$53,MATCH($V24,BP!$B$44:$B$53,0),MATCH($AF24,BP!$B$44:$F$44,0)),"DS"))</f>
        <v>DS</v>
      </c>
      <c r="ET24" s="169" t="b">
        <f t="shared" si="55"/>
        <v>0</v>
      </c>
      <c r="EU24" s="169" t="e">
        <f>INDEX(BP!$B$64:$D$66,MATCH($EM24,BP!$B$64:$B$66,0),2)</f>
        <v>#N/A</v>
      </c>
      <c r="EV24" s="169" t="e">
        <f>IF($H24="KP-11",INDEX(BP!$B$64:$D$74,MATCH($K24,BP!$B$64:$B$74,0),3),$ET24*$EU24)</f>
        <v>#N/A</v>
      </c>
      <c r="EW24" s="169" t="e">
        <f>INDEX(BP!$B$57:$D$60,MATCH($ES24,BP!$B$57:$B$60,0),3)</f>
        <v>#N/A</v>
      </c>
      <c r="EX24" s="169" t="e">
        <f>INDEX(BP!$B$57:$D$60,MATCH($ES24,BP!$B$57:$B$60,0),2)</f>
        <v>#N/A</v>
      </c>
      <c r="EY24" s="163" t="e">
        <f t="shared" si="56"/>
        <v>#N/A</v>
      </c>
      <c r="EZ24" s="163" t="e">
        <f t="shared" si="57"/>
        <v>#N/A</v>
      </c>
      <c r="FA24" s="158" t="b">
        <f t="shared" si="58"/>
        <v>0</v>
      </c>
      <c r="FB24" s="158">
        <f t="shared" si="59"/>
        <v>0</v>
      </c>
      <c r="FC24" s="159">
        <f t="shared" si="60"/>
        <v>0</v>
      </c>
      <c r="FE24" s="240">
        <f t="shared" si="61"/>
        <v>0</v>
      </c>
      <c r="FF24" s="240">
        <f t="shared" si="62"/>
        <v>0</v>
      </c>
      <c r="FG24" s="198" t="str">
        <f t="shared" si="63"/>
        <v>-</v>
      </c>
      <c r="FH24" s="198" t="str">
        <f t="shared" si="64"/>
        <v>-</v>
      </c>
      <c r="FI24" s="198" t="b">
        <f t="shared" si="65"/>
        <v>0</v>
      </c>
      <c r="FJ24" s="198" t="str">
        <f t="shared" si="66"/>
        <v>DS</v>
      </c>
      <c r="FK24" s="198" t="b">
        <f t="shared" si="67"/>
        <v>0</v>
      </c>
      <c r="FL24" s="198" t="str">
        <f t="shared" si="68"/>
        <v>-</v>
      </c>
      <c r="FM24" s="241" t="e">
        <f t="shared" si="69"/>
        <v>#VALUE!</v>
      </c>
      <c r="FN24" s="198">
        <f t="shared" si="70"/>
        <v>170000</v>
      </c>
      <c r="FO24" s="198" t="b">
        <f t="shared" si="71"/>
        <v>0</v>
      </c>
      <c r="FP24" s="198" t="str">
        <f t="shared" si="72"/>
        <v>-</v>
      </c>
      <c r="FQ24" s="198" t="str">
        <f t="shared" si="73"/>
        <v>-</v>
      </c>
      <c r="FR24" s="198">
        <f t="shared" si="74"/>
        <v>0</v>
      </c>
      <c r="FS24" s="198">
        <f t="shared" si="75"/>
        <v>0</v>
      </c>
      <c r="FT24" s="198">
        <f t="shared" si="76"/>
        <v>565.21739130434787</v>
      </c>
      <c r="FU24" s="242" t="e">
        <f>IF($FJ24="DS",INDEX(BP!$B$77:$F$87,MATCH($FI24,BP!$B$77:$B$87,0),MATCH($FF24,BP!$B$77:$F$77,0)),INDEX(BP!$B$77:$F$87,MATCH($FJ24,BP!$B$77:$B$87,0),MATCH($FF24,BP!$B$77:$F$77,0)))</f>
        <v>#N/A</v>
      </c>
      <c r="FV24" s="198" t="e">
        <f t="shared" si="77"/>
        <v>#N/A</v>
      </c>
      <c r="FW24" s="198">
        <f t="shared" si="78"/>
        <v>170000</v>
      </c>
      <c r="FX24" s="198">
        <v>20</v>
      </c>
      <c r="FY24" s="198">
        <v>35000</v>
      </c>
      <c r="FZ24" s="198">
        <v>1</v>
      </c>
      <c r="GA24" s="198" t="e">
        <f t="shared" si="79"/>
        <v>#VALUE!</v>
      </c>
      <c r="GB24" s="198" t="e">
        <f t="shared" si="80"/>
        <v>#VALUE!</v>
      </c>
      <c r="GC24" s="198" t="e">
        <f t="shared" si="81"/>
        <v>#VALUE!</v>
      </c>
      <c r="GD24" s="240">
        <f t="shared" si="82"/>
        <v>0</v>
      </c>
      <c r="GE24" s="242" t="e">
        <f t="shared" si="83"/>
        <v>#VALUE!</v>
      </c>
      <c r="GF24" s="242" t="e">
        <f t="shared" si="84"/>
        <v>#VALUE!</v>
      </c>
      <c r="GG24" s="242" t="e">
        <f t="shared" si="85"/>
        <v>#VALUE!</v>
      </c>
      <c r="GH24" s="243" t="e">
        <f t="shared" si="86"/>
        <v>#VALUE!</v>
      </c>
      <c r="GI24" s="243" t="e">
        <f t="shared" si="87"/>
        <v>#VALUE!</v>
      </c>
      <c r="GJ24" s="243" t="e">
        <f t="shared" si="88"/>
        <v>#VALUE!</v>
      </c>
      <c r="GK24" s="240">
        <f t="shared" si="89"/>
        <v>0</v>
      </c>
      <c r="GL24" s="198">
        <f t="shared" si="90"/>
        <v>0</v>
      </c>
      <c r="GM24" s="198">
        <f t="shared" si="91"/>
        <v>0</v>
      </c>
      <c r="GN24" s="240" t="e">
        <f t="shared" si="92"/>
        <v>#VALUE!</v>
      </c>
      <c r="GO24" s="243" t="e">
        <f t="shared" si="93"/>
        <v>#VALUE!</v>
      </c>
      <c r="GP24" s="198" t="e">
        <f t="shared" si="94"/>
        <v>#VALUE!</v>
      </c>
      <c r="GQ24" s="244" t="e">
        <f t="shared" si="95"/>
        <v>#VALUE!</v>
      </c>
      <c r="GR24" s="199" t="e">
        <f t="shared" si="96"/>
        <v>#N/A</v>
      </c>
      <c r="GS24" s="198" t="e">
        <f t="shared" si="97"/>
        <v>#N/A</v>
      </c>
      <c r="GT24" s="198" t="e">
        <f t="shared" si="98"/>
        <v>#N/A</v>
      </c>
      <c r="GU24" s="198" t="e">
        <f t="shared" si="99"/>
        <v>#N/A</v>
      </c>
      <c r="GV24" s="245">
        <f t="shared" si="100"/>
        <v>0</v>
      </c>
      <c r="GW24" s="198">
        <v>170000</v>
      </c>
      <c r="GX24" s="198">
        <v>8</v>
      </c>
      <c r="GY24" s="198">
        <f t="shared" si="101"/>
        <v>50.26548245743669</v>
      </c>
      <c r="GZ24" s="198" t="e">
        <f t="shared" si="102"/>
        <v>#N/A</v>
      </c>
      <c r="HA24" s="198">
        <v>1</v>
      </c>
      <c r="HB24" s="198" t="e">
        <f t="shared" si="103"/>
        <v>#N/A</v>
      </c>
      <c r="HC24" s="198" t="e">
        <f t="shared" si="104"/>
        <v>#N/A</v>
      </c>
      <c r="HD24" s="198" t="e">
        <f t="shared" si="105"/>
        <v>#N/A</v>
      </c>
      <c r="HE24" s="198">
        <f t="shared" si="106"/>
        <v>120</v>
      </c>
      <c r="HF24" s="198">
        <f t="shared" si="106"/>
        <v>120</v>
      </c>
      <c r="HG24" s="198">
        <v>100</v>
      </c>
      <c r="HH24" s="198" t="e">
        <f t="shared" si="107"/>
        <v>#N/A</v>
      </c>
      <c r="HI24" s="198" t="e">
        <f t="shared" si="108"/>
        <v>#N/A</v>
      </c>
      <c r="HJ24" s="198" t="e">
        <f t="shared" si="109"/>
        <v>#N/A</v>
      </c>
      <c r="HK24" s="198" t="e">
        <f t="shared" si="110"/>
        <v>#N/A</v>
      </c>
      <c r="HL24" s="198" t="e">
        <f t="shared" si="111"/>
        <v>#N/A</v>
      </c>
      <c r="HM24" s="198" t="e">
        <f t="shared" si="112"/>
        <v>#N/A</v>
      </c>
      <c r="HN24" s="241" t="e">
        <f>IF(H24="KP-TypJ",INDEX(TW!$O$168:$P$176,MATCH(V24,TW!$N$168:$N$176,0),MATCH(CJ24-0,TW!$O$167:$P$167,0)),IF(OR($H24="KP-11",$H24="KP-12"),$GQ24,$HM24+$GQ24))</f>
        <v>#N/A</v>
      </c>
    </row>
    <row r="25" spans="1:222" x14ac:dyDescent="0.25">
      <c r="A25" s="349"/>
      <c r="B25" s="350"/>
      <c r="C25" s="417"/>
      <c r="D25" s="350"/>
      <c r="E25" s="349"/>
      <c r="F25" s="350"/>
      <c r="G25" s="17"/>
      <c r="H25" s="420"/>
      <c r="I25" s="421"/>
      <c r="J25" s="421"/>
      <c r="K25" s="418"/>
      <c r="L25" s="418"/>
      <c r="M25" s="419"/>
      <c r="N25" s="10"/>
      <c r="O25" s="289"/>
      <c r="P25" s="290"/>
      <c r="Q25" s="13" t="s">
        <v>7</v>
      </c>
      <c r="R25" s="412"/>
      <c r="S25" s="413"/>
      <c r="T25" s="414"/>
      <c r="U25" s="415"/>
      <c r="V25" s="289"/>
      <c r="W25" s="290"/>
      <c r="X25" s="393" t="str">
        <f t="shared" si="7"/>
        <v/>
      </c>
      <c r="Y25" s="394"/>
      <c r="Z25" s="369"/>
      <c r="AA25" s="370"/>
      <c r="AB25" s="397"/>
      <c r="AC25" s="398"/>
      <c r="AD25" s="383"/>
      <c r="AE25" s="384"/>
      <c r="AF25" s="395"/>
      <c r="AG25" s="396"/>
      <c r="AH25" s="230"/>
      <c r="AI25" s="69" t="str">
        <f t="shared" si="8"/>
        <v/>
      </c>
      <c r="AJ25" s="18"/>
      <c r="AK25" s="349"/>
      <c r="AL25" s="350"/>
      <c r="AM25" s="349"/>
      <c r="AN25" s="350"/>
      <c r="AO25" s="318" t="str">
        <f>IF(AND(OR(H25="KP-8",H25="KP-10"),V25&gt;0),VLOOKUP(V25,'.'!$AO$32:$AQ$40,2,FALSE),"")</f>
        <v/>
      </c>
      <c r="AP25" s="319"/>
      <c r="AQ25" s="316" t="str">
        <f>IF(AND(OR(H25="KP-8",H25="KP-10"),V25&gt;0),VLOOKUP(V25,'.'!$AO$32:$AQ$40,3,FALSE),"")</f>
        <v/>
      </c>
      <c r="AR25" s="317"/>
      <c r="AS25" s="339" t="str">
        <f t="shared" si="9"/>
        <v/>
      </c>
      <c r="AT25" s="340"/>
      <c r="AU25" s="314"/>
      <c r="AV25" s="315"/>
      <c r="AW25" s="314"/>
      <c r="AX25" s="315"/>
      <c r="AY25" s="12"/>
      <c r="AZ25" s="291"/>
      <c r="BA25" s="292"/>
      <c r="BB25" s="292"/>
      <c r="BC25" s="293"/>
      <c r="BD25" s="5"/>
      <c r="BE25" s="5"/>
      <c r="BF25" s="128" t="str">
        <f t="shared" si="10"/>
        <v>-</v>
      </c>
      <c r="BG25" s="129" t="str">
        <f t="shared" si="11"/>
        <v>-</v>
      </c>
      <c r="BH25" s="130" t="str">
        <f t="shared" si="12"/>
        <v>-</v>
      </c>
      <c r="BI25" s="130" t="str">
        <f t="shared" si="13"/>
        <v>-</v>
      </c>
      <c r="BJ25" s="136"/>
      <c r="BK25" s="177" t="str">
        <f t="shared" si="14"/>
        <v>-</v>
      </c>
      <c r="BL25" s="136"/>
      <c r="BM25" s="143" t="str">
        <f t="shared" si="15"/>
        <v>-</v>
      </c>
      <c r="BN25" s="143" t="str">
        <f t="shared" si="16"/>
        <v>-</v>
      </c>
      <c r="BQ25" s="225" t="str">
        <f>IF($H25="","leer",VLOOKUP($H25,'.'!$AO$7:$AY$28,2,FALSE))</f>
        <v>leer</v>
      </c>
      <c r="BR25" s="225" t="str">
        <f>IF($H25="","leer",VLOOKUP($H25,'.'!$AO$7:$AY$28,3,FALSE))</f>
        <v>leer</v>
      </c>
      <c r="BS25" s="225" t="str">
        <f>IF($H25="","Dleer.",IF(OR(K25="QD43",K25="QD43q"),"TypQD43D.",IF(OR(K25="QD51",K25="QD51q"),"TypQD51D.",IF(AND($H25='.'!$AO$22,$K25="02"),"TypG02D.",VLOOKUP($H25,'.'!$AO$7:$AY$28,4,FALSE)))))</f>
        <v>Dleer.</v>
      </c>
      <c r="BT25" s="225" t="str">
        <f>IF($H25="","ITleer.",VLOOKUP($H25,'.'!$AO$7:$AY$28,5,FALSE))</f>
        <v>ITleer.</v>
      </c>
      <c r="BU25" s="225" t="str">
        <f>IF($AD25="(PUR)","TypPURIS.",IF($H25="","ISleer.",VLOOKUP($H25,'.'!$AO$7:$AY$28,6,FALSE)))</f>
        <v>ISleer.</v>
      </c>
      <c r="BV25" s="225" t="str">
        <f>IF($H25="","Fleer.",VLOOKUP($H25,'.'!$AO$7:$AY$28,7,FALSE))</f>
        <v>Fleer.</v>
      </c>
      <c r="BW25" s="225" t="str">
        <f>IF($H25="","leer",IF(AH25&lt;T25*100+220,"leer",VLOOKUP($H25,'.'!$AO$7:$AY$28,8,FALSE)))</f>
        <v>leer</v>
      </c>
      <c r="BX25" s="225" t="str">
        <f>IF($H25="","leer",VLOOKUP($H25,'.'!$AO$7:$AY$28,9,FALSE))</f>
        <v>leer</v>
      </c>
      <c r="BY25" s="225" t="str">
        <f>IF($H25="","leer",VLOOKUP($H25,'.'!$AO$7:$AY$28,10,FALSE))</f>
        <v>leer</v>
      </c>
      <c r="BZ25" s="226" t="e">
        <f>INDEX('.'!$AP$43:$BA$53,MATCH(H25,'.'!$AO$43:$AO$53,0),MATCH(K25,'.'!$AP$42:$BA$42,0))</f>
        <v>#N/A</v>
      </c>
      <c r="CA25" s="225" t="str">
        <f>IF($H25="","leer",VLOOKUP($H25,'.'!$AO$7:$AY$28,11,FALSE))</f>
        <v>leer</v>
      </c>
      <c r="CB25" s="225" t="e">
        <f>INDEX('.'!$AP$56:$BA$66,MATCH(H25,'.'!$AO$56:$AO$66,0),MATCH(K25,'.'!$AP$55:$BA$55,0))</f>
        <v>#N/A</v>
      </c>
      <c r="CC25" s="225" t="str">
        <f>IF(OR($H25="",$H25="KP-TypB",$H25="KP-TypC",$H25="KP-TypD",$H25="KP-TypH",$H25="KP-TypJ",$H25="KP-TypK"),"leer",IF(OR($H25="KP-1",$H25="KPE-1",$H25="KP-3",$H25="KPE-3",$H25="KP-11",$H25="KP-12",$H25="KP-TypG"),VLOOKUP(O25,'.'!$BA$7:$BB$15,2,FALSE),IF(OR($H25="KP-2",$H25="KP-7"),VLOOKUP(O25,'.'!$BD$7:$BE$15,2,FALSE),"n0.")))</f>
        <v>leer</v>
      </c>
      <c r="CD25" s="227" t="e">
        <f>INDEX('.'!$AP$69:$BA$79,MATCH(H25,'.'!$AO$69:$AO$79,0),MATCH(K25,'.'!$AP$68:$BA$68,0))</f>
        <v>#N/A</v>
      </c>
      <c r="CF25" s="117" t="e">
        <f>VLOOKUP($H25,TW!$L$54:$M$72,TW!$M$54,FALSE)</f>
        <v>#N/A</v>
      </c>
      <c r="CG25" s="117">
        <f t="shared" si="17"/>
        <v>0</v>
      </c>
      <c r="CH25" s="118">
        <f t="shared" si="18"/>
        <v>0</v>
      </c>
      <c r="CI25" s="118">
        <f t="shared" si="1"/>
        <v>0</v>
      </c>
      <c r="CJ25" s="117">
        <f t="shared" si="19"/>
        <v>0</v>
      </c>
      <c r="CK25" s="117" t="str">
        <f t="shared" si="20"/>
        <v>ø0-0</v>
      </c>
      <c r="CL25" s="122" t="b">
        <f>IF($H25="KP-1",INDEX(TW!$B$54:$J$63,MATCH($CI25,TW!$B$54:$B$63,0),MATCH($CK25,TW!$B$54:$J$54,0)),IF($H25="KPE-1",INDEX(TW!$B$66:$J$74,MATCH($CI25,TW!$B$66:$B$74,0),MATCH($CK25,TW!$B$66:$J$66,0)),IF($H25="KP-3",INDEX(TW!$B$77:$J$86,MATCH($CI25,TW!$B$77:$B$86,0),MATCH($CK25,TW!$B$77:$J$77,0)),IF($H25="KPE-3",INDEX(TW!$B$89:$J$97,MATCH($CI25,TW!$B$89:$B$97,0),MATCH($CK25,TW!$B$89:$J$89,0)),IF(OR($H25="KP-2",$H25="KP-7"),INDEX(TW!$B$100:$V$109,MATCH($CI25,TW!$B$100:$B$109,0),MATCH($CK25,TW!$B$100:$V$100,0)),IF($H25="KP-10",INDEX(TW!$B$121:$F$130,MATCH($CI25,TW!$B$121:$B$130,0),MATCH($CJ25,TW!$B$121:$F$121,0)),IF($H25="KP-11",INDEX(TW!$B$133:$J$141,MATCH($CI25,TW!$B$133:$B$141,0),MATCH($CK25,TW!$B$133:$J$133,0)),IF($H25="KP-12",INDEX(TW!$B$144:$J$152,MATCH($CI25,TW!$B$144:$B$152,0),MATCH($CK25,TW!$B$144:$J$144,0))))))))))</f>
        <v>0</v>
      </c>
      <c r="CM25" s="117" t="e">
        <f>VLOOKUP($CH25,TW!$B$112:$C$118,TW!$C$113,FALSE)</f>
        <v>#N/A</v>
      </c>
      <c r="CN25" s="235">
        <f t="shared" si="21"/>
        <v>0</v>
      </c>
      <c r="CO25" s="122">
        <f t="shared" si="22"/>
        <v>1</v>
      </c>
      <c r="CP25" s="122" t="e">
        <f>$CL25*(VLOOKUP($CH25,TW!$B$112:$D$118,TW!$D$113,FALSE)/INDEX(TW!$F$112:$J$117,MATCH($CH25,TW!$F$112:$F$117,0),MATCH($CJ25,TW!$F$112:$J$112,0)))</f>
        <v>#N/A</v>
      </c>
      <c r="CQ25" s="122" t="b">
        <f t="shared" si="23"/>
        <v>0</v>
      </c>
      <c r="CR25" s="122" t="str">
        <f t="shared" si="24"/>
        <v>leer</v>
      </c>
      <c r="CS25" s="122">
        <f>IF(H25="KP-12",INDEX(TW!$H$42:$L$50,MATCH($CY25,TW!$B$42:$B$50,0),MATCH($CZ25,TW!$B$42:$F$42,0)),0)</f>
        <v>0</v>
      </c>
      <c r="CT25" s="122">
        <f t="shared" si="25"/>
        <v>-60</v>
      </c>
      <c r="CU25" s="122">
        <f t="shared" si="26"/>
        <v>0</v>
      </c>
      <c r="CV25" s="122" t="str">
        <f>IF(H25="KP-TypJ",INDEX(TW!$K$168:$L$176,MATCH(V25,TW!$H$156:$H$164,0),MATCH(AF25-0,TW!$K$167:$L$167,0)),IF($H25="KP-7",$CG25*$CR25,IF(OR($H25="KP-9",$H25="KPE-9"),999,IF(ISNUMBER($CL25),$CL25*$CG25-$CU25,"-"))))</f>
        <v>-</v>
      </c>
      <c r="CW25" s="101" t="e">
        <f>VLOOKUP($H25,TW!$H$13:$I$30,TW!$I$13,FALSE)</f>
        <v>#N/A</v>
      </c>
      <c r="CX25" s="102" t="str">
        <f t="shared" si="27"/>
        <v>leer</v>
      </c>
      <c r="CY25" s="102">
        <f t="shared" si="28"/>
        <v>-60</v>
      </c>
      <c r="CZ25" s="102">
        <f t="shared" si="2"/>
        <v>0</v>
      </c>
      <c r="DA25" s="115" t="e">
        <f>IF($H25="KP-6",INDEX(TW!$B$25:$F$27,MATCH($CY25,TW!$B$25:$B$27,0),MATCH($CZ25,TW!$B$25:$F$25,0)),IF(OR($H25="KP-8",$H25="KP-10"),INDEX(TW!$B$30:$F$39,MATCH($CY25,TW!$B$30:$B$39,0),MATCH($CZ25,TW!$B$30:$F$30,0)),IF(OR($H25="KP-11",$H25="KP-12"),INDEX(TW!$B$42:$F$50,MATCH($CY25,TW!$B$42:$B$50,0),MATCH($CZ25,TW!$B$42:$F$42,0)),INDEX(TW!$B$13:$F$22,MATCH($CY25,TW!$B$13:$B$22,0),MATCH($CZ25,TW!$B$13:$F$13,0)))))</f>
        <v>#N/A</v>
      </c>
      <c r="DB25" s="115" t="str">
        <f>IF(AND(NOT(CZ25=0),OR(K25="QD43",K25="QD43q",K25="QD51",K25="QD51q")),INDEX(TW!$C$156:$F$164,MATCH(V25,TW!$B$156:$B$164,0),MATCH(K25,TW!$C$155:$F$155,0)),IF(AND(ISNUMBER($CX25),ISNUMBER($DA25)),$CX25*$DA25,"-"))</f>
        <v>-</v>
      </c>
      <c r="DC25" s="236" t="str">
        <f t="shared" si="29"/>
        <v>leer</v>
      </c>
      <c r="DD25" s="236" t="str">
        <f t="shared" si="4"/>
        <v>leer</v>
      </c>
      <c r="DE25" s="236" t="e">
        <f>VLOOKUP($DD25,TW!$B$4:$H$9,TW!$H$4,FALSE)</f>
        <v>#N/A</v>
      </c>
      <c r="DF25" s="237">
        <f t="shared" si="30"/>
        <v>0</v>
      </c>
      <c r="DG25" s="82">
        <f t="shared" si="31"/>
        <v>1</v>
      </c>
      <c r="DH25" s="82" t="e">
        <f>VLOOKUP($DD25,TW!$B$4:$H$9,TW!$G$4,FALSE)</f>
        <v>#N/A</v>
      </c>
      <c r="DI25" s="236" t="str">
        <f>IF($AF25="","leer",IF($AF25=60,VLOOKUP($DD25,TW!$B$4:$H$9,TW!$C$4,FALSE),IF($AF25=80,VLOOKUP($DD25,TW!$B$4:$H$9,TW!$D$4,FALSE),IF($AF25=100,VLOOKUP($DD25,TW!$B$4:$H$9,TW!$E$4,FALSE),IF($AF25=120,VLOOKUP($DD25,TW!$B$4:$H$9,TW!$F$4,FALSE),"")))))</f>
        <v>leer</v>
      </c>
      <c r="DJ25" s="82" t="str">
        <f t="shared" si="32"/>
        <v>leer</v>
      </c>
      <c r="DK25" s="82" t="e">
        <f>IF(H25="KP-TypH",INDEX(TW!$C$168:$D$176,MATCH(V25,TW!$B$168:$B$176,0),MATCH(CJ25-0,TW!$C$167:$D$167,0)),IF(H25="KP-TypJ",INDEX(TW!$G$168:$H$176,MATCH(V25,TW!$F$168:$F$176,0),MATCH(CJ25-0,TW!$G$167:$H$167,0)),$DJ25*$DC25))</f>
        <v>#VALUE!</v>
      </c>
      <c r="DL25" s="77" t="str">
        <f>IF(AND(NOT(CZ25=0),OR(K25="QD43",K25="QD43q",K25="QD51",K25="QD51q")),INDEX(TW!$I$156:$L$164,MATCH(V25,TW!$H$156:$H$164,0),MATCH(K25,TW!$I$155:$L$155,0)),IF(OR(AND($H25="KP-TypG",$K25="02")),100,IF(OR($AU25="x",AND($H25="KP-TypG",$K25="01")),50,"-")))</f>
        <v>-</v>
      </c>
      <c r="DN25" s="171">
        <f t="shared" si="33"/>
        <v>0</v>
      </c>
      <c r="DO25" s="238">
        <f>IF(ISBLANK($AD25),0,INDEX(BP!$B$3:$C$8,MATCH($AD25,BP!$B$3:$B$8,0),2))</f>
        <v>0</v>
      </c>
      <c r="DP25" s="170">
        <f t="shared" si="34"/>
        <v>0</v>
      </c>
      <c r="DQ25" s="163">
        <f t="shared" si="35"/>
        <v>0</v>
      </c>
      <c r="DR25" s="163">
        <f t="shared" si="36"/>
        <v>0</v>
      </c>
      <c r="DS25" s="169">
        <f>INDEX(BP!$B$3:$C$8,6,2)</f>
        <v>0.17499999999999999</v>
      </c>
      <c r="DT25" s="162">
        <f t="shared" si="37"/>
        <v>0</v>
      </c>
      <c r="DU25" s="163">
        <f t="shared" si="38"/>
        <v>0</v>
      </c>
      <c r="DV25" s="170">
        <f t="shared" si="39"/>
        <v>0</v>
      </c>
      <c r="DW25" s="170" t="e">
        <f>INDEX(BP!$B$12:$F$29,MATCH($H25,BP!$B$12:$B$29,0),3)</f>
        <v>#N/A</v>
      </c>
      <c r="DX25" s="170" t="e">
        <f>INDEX(BP!$B$12:$F$29,MATCH($H25,BP!$B$12:$B$29,0),4)</f>
        <v>#N/A</v>
      </c>
      <c r="DY25" s="169" t="e">
        <f t="shared" si="40"/>
        <v>#N/A</v>
      </c>
      <c r="DZ25" s="169" t="e">
        <f t="shared" si="41"/>
        <v>#N/A</v>
      </c>
      <c r="EA25" s="169" t="e">
        <f t="shared" si="42"/>
        <v>#N/A</v>
      </c>
      <c r="EB25" s="169" t="str">
        <f t="shared" si="43"/>
        <v>-</v>
      </c>
      <c r="EC25" s="169" t="e">
        <f t="shared" si="44"/>
        <v>#VALUE!</v>
      </c>
      <c r="ED25" s="169">
        <f>IF(OR(K25="QD43",K25="QD43q"),BP!$C$92,IF(OR(K25="QD51",K25="QD51q"),BP!$C$94,15))</f>
        <v>15</v>
      </c>
      <c r="EE25" s="163">
        <f>IF(OR(K25="QD43",K25="QD43q"),BP!$D$92,IF(OR(K25="QD51",K25="QD51q"),BP!$D$94,IF($DV25=0,0,IF($DW25="SP",$EA25*$DV25,$DV25*$EC25))))</f>
        <v>0</v>
      </c>
      <c r="EF25" s="163">
        <f t="shared" si="45"/>
        <v>0</v>
      </c>
      <c r="EG25" s="169">
        <f t="shared" si="46"/>
        <v>0</v>
      </c>
      <c r="EH25" s="170">
        <f t="shared" si="47"/>
        <v>1100</v>
      </c>
      <c r="EI25" s="169">
        <v>15</v>
      </c>
      <c r="EJ25" s="162">
        <f t="shared" si="48"/>
        <v>0</v>
      </c>
      <c r="EK25" s="162">
        <f t="shared" si="49"/>
        <v>0</v>
      </c>
      <c r="EL25" s="169" t="b">
        <f t="shared" si="50"/>
        <v>0</v>
      </c>
      <c r="EM25" s="239" t="b">
        <f t="shared" si="51"/>
        <v>0</v>
      </c>
      <c r="EN25" s="169">
        <f t="shared" si="52"/>
        <v>0</v>
      </c>
      <c r="EO25" s="169" t="e">
        <f>INDEX(BP!$B$12:$F$29,MATCH($H25,BP!$B$12:$B$29,0),5)</f>
        <v>#N/A</v>
      </c>
      <c r="EP25" s="162">
        <f t="shared" si="53"/>
        <v>0</v>
      </c>
      <c r="EQ25" s="162" t="e">
        <f t="shared" si="54"/>
        <v>#N/A</v>
      </c>
      <c r="ER25" s="169" t="e">
        <f>INDEX(BP!$B$12:$F$29,MATCH($H25,BP!$B$12:$B$29,0),2)</f>
        <v>#N/A</v>
      </c>
      <c r="ES25" s="169" t="str">
        <f>IF(OR($H25="KP-1",$H25="KPE-1",$H25="KP-11"),INDEX(BP!$B$32:$F$41,MATCH($V25,BP!$B$32:$B$41,0),MATCH($AF25,BP!$B$32:$F$32,0)),IF(OR($H25="KP-3",$H25="KPE-3"),INDEX(BP!$B$44:$F$53,MATCH($V25,BP!$B$44:$B$53,0),MATCH($AF25,BP!$B$44:$F$44,0)),"DS"))</f>
        <v>DS</v>
      </c>
      <c r="ET25" s="169" t="b">
        <f t="shared" si="55"/>
        <v>0</v>
      </c>
      <c r="EU25" s="169" t="e">
        <f>INDEX(BP!$B$64:$D$66,MATCH($EM25,BP!$B$64:$B$66,0),2)</f>
        <v>#N/A</v>
      </c>
      <c r="EV25" s="169" t="e">
        <f>IF($H25="KP-11",INDEX(BP!$B$64:$D$74,MATCH($K25,BP!$B$64:$B$74,0),3),$ET25*$EU25)</f>
        <v>#N/A</v>
      </c>
      <c r="EW25" s="169" t="e">
        <f>INDEX(BP!$B$57:$D$60,MATCH($ES25,BP!$B$57:$B$60,0),3)</f>
        <v>#N/A</v>
      </c>
      <c r="EX25" s="169" t="e">
        <f>INDEX(BP!$B$57:$D$60,MATCH($ES25,BP!$B$57:$B$60,0),2)</f>
        <v>#N/A</v>
      </c>
      <c r="EY25" s="163" t="e">
        <f t="shared" si="56"/>
        <v>#N/A</v>
      </c>
      <c r="EZ25" s="163" t="e">
        <f t="shared" si="57"/>
        <v>#N/A</v>
      </c>
      <c r="FA25" s="158" t="b">
        <f t="shared" si="58"/>
        <v>0</v>
      </c>
      <c r="FB25" s="158">
        <f t="shared" si="59"/>
        <v>0</v>
      </c>
      <c r="FC25" s="159">
        <f t="shared" si="60"/>
        <v>0</v>
      </c>
      <c r="FE25" s="240">
        <f t="shared" si="61"/>
        <v>0</v>
      </c>
      <c r="FF25" s="240">
        <f t="shared" si="62"/>
        <v>0</v>
      </c>
      <c r="FG25" s="198" t="str">
        <f t="shared" si="63"/>
        <v>-</v>
      </c>
      <c r="FH25" s="198" t="str">
        <f t="shared" si="64"/>
        <v>-</v>
      </c>
      <c r="FI25" s="198" t="b">
        <f t="shared" si="65"/>
        <v>0</v>
      </c>
      <c r="FJ25" s="198" t="str">
        <f t="shared" si="66"/>
        <v>DS</v>
      </c>
      <c r="FK25" s="198" t="b">
        <f t="shared" si="67"/>
        <v>0</v>
      </c>
      <c r="FL25" s="198" t="str">
        <f t="shared" si="68"/>
        <v>-</v>
      </c>
      <c r="FM25" s="241" t="e">
        <f t="shared" si="69"/>
        <v>#VALUE!</v>
      </c>
      <c r="FN25" s="198">
        <f t="shared" si="70"/>
        <v>170000</v>
      </c>
      <c r="FO25" s="198" t="b">
        <f t="shared" si="71"/>
        <v>0</v>
      </c>
      <c r="FP25" s="198" t="str">
        <f t="shared" si="72"/>
        <v>-</v>
      </c>
      <c r="FQ25" s="198" t="str">
        <f t="shared" si="73"/>
        <v>-</v>
      </c>
      <c r="FR25" s="198">
        <f t="shared" si="74"/>
        <v>0</v>
      </c>
      <c r="FS25" s="198">
        <f t="shared" si="75"/>
        <v>0</v>
      </c>
      <c r="FT25" s="198">
        <f t="shared" si="76"/>
        <v>565.21739130434787</v>
      </c>
      <c r="FU25" s="242" t="e">
        <f>IF($FJ25="DS",INDEX(BP!$B$77:$F$87,MATCH($FI25,BP!$B$77:$B$87,0),MATCH($FF25,BP!$B$77:$F$77,0)),INDEX(BP!$B$77:$F$87,MATCH($FJ25,BP!$B$77:$B$87,0),MATCH($FF25,BP!$B$77:$F$77,0)))</f>
        <v>#N/A</v>
      </c>
      <c r="FV25" s="198" t="e">
        <f t="shared" si="77"/>
        <v>#N/A</v>
      </c>
      <c r="FW25" s="198">
        <f t="shared" si="78"/>
        <v>170000</v>
      </c>
      <c r="FX25" s="198">
        <v>20</v>
      </c>
      <c r="FY25" s="198">
        <v>35000</v>
      </c>
      <c r="FZ25" s="198">
        <v>1</v>
      </c>
      <c r="GA25" s="198" t="e">
        <f t="shared" si="79"/>
        <v>#VALUE!</v>
      </c>
      <c r="GB25" s="198" t="e">
        <f t="shared" si="80"/>
        <v>#VALUE!</v>
      </c>
      <c r="GC25" s="198" t="e">
        <f t="shared" si="81"/>
        <v>#VALUE!</v>
      </c>
      <c r="GD25" s="240">
        <f t="shared" si="82"/>
        <v>0</v>
      </c>
      <c r="GE25" s="242" t="e">
        <f t="shared" si="83"/>
        <v>#VALUE!</v>
      </c>
      <c r="GF25" s="242" t="e">
        <f t="shared" si="84"/>
        <v>#VALUE!</v>
      </c>
      <c r="GG25" s="242" t="e">
        <f t="shared" si="85"/>
        <v>#VALUE!</v>
      </c>
      <c r="GH25" s="243" t="e">
        <f t="shared" si="86"/>
        <v>#VALUE!</v>
      </c>
      <c r="GI25" s="243" t="e">
        <f t="shared" si="87"/>
        <v>#VALUE!</v>
      </c>
      <c r="GJ25" s="243" t="e">
        <f t="shared" si="88"/>
        <v>#VALUE!</v>
      </c>
      <c r="GK25" s="240">
        <f t="shared" si="89"/>
        <v>0</v>
      </c>
      <c r="GL25" s="198">
        <f t="shared" si="90"/>
        <v>0</v>
      </c>
      <c r="GM25" s="198">
        <f t="shared" si="91"/>
        <v>0</v>
      </c>
      <c r="GN25" s="240" t="e">
        <f t="shared" si="92"/>
        <v>#VALUE!</v>
      </c>
      <c r="GO25" s="243" t="e">
        <f t="shared" si="93"/>
        <v>#VALUE!</v>
      </c>
      <c r="GP25" s="198" t="e">
        <f t="shared" si="94"/>
        <v>#VALUE!</v>
      </c>
      <c r="GQ25" s="244" t="e">
        <f t="shared" si="95"/>
        <v>#VALUE!</v>
      </c>
      <c r="GR25" s="199" t="e">
        <f t="shared" si="96"/>
        <v>#N/A</v>
      </c>
      <c r="GS25" s="198" t="e">
        <f t="shared" si="97"/>
        <v>#N/A</v>
      </c>
      <c r="GT25" s="198" t="e">
        <f t="shared" si="98"/>
        <v>#N/A</v>
      </c>
      <c r="GU25" s="198" t="e">
        <f t="shared" si="99"/>
        <v>#N/A</v>
      </c>
      <c r="GV25" s="245">
        <f t="shared" si="100"/>
        <v>0</v>
      </c>
      <c r="GW25" s="198">
        <v>170000</v>
      </c>
      <c r="GX25" s="198">
        <v>8</v>
      </c>
      <c r="GY25" s="198">
        <f t="shared" si="101"/>
        <v>50.26548245743669</v>
      </c>
      <c r="GZ25" s="198" t="e">
        <f t="shared" si="102"/>
        <v>#N/A</v>
      </c>
      <c r="HA25" s="198">
        <v>1</v>
      </c>
      <c r="HB25" s="198" t="e">
        <f t="shared" si="103"/>
        <v>#N/A</v>
      </c>
      <c r="HC25" s="198" t="e">
        <f t="shared" si="104"/>
        <v>#N/A</v>
      </c>
      <c r="HD25" s="198" t="e">
        <f t="shared" si="105"/>
        <v>#N/A</v>
      </c>
      <c r="HE25" s="198">
        <f t="shared" si="106"/>
        <v>120</v>
      </c>
      <c r="HF25" s="198">
        <f t="shared" si="106"/>
        <v>120</v>
      </c>
      <c r="HG25" s="198">
        <v>100</v>
      </c>
      <c r="HH25" s="198" t="e">
        <f t="shared" si="107"/>
        <v>#N/A</v>
      </c>
      <c r="HI25" s="198" t="e">
        <f t="shared" si="108"/>
        <v>#N/A</v>
      </c>
      <c r="HJ25" s="198" t="e">
        <f t="shared" si="109"/>
        <v>#N/A</v>
      </c>
      <c r="HK25" s="198" t="e">
        <f t="shared" si="110"/>
        <v>#N/A</v>
      </c>
      <c r="HL25" s="198" t="e">
        <f t="shared" si="111"/>
        <v>#N/A</v>
      </c>
      <c r="HM25" s="198" t="e">
        <f t="shared" si="112"/>
        <v>#N/A</v>
      </c>
      <c r="HN25" s="241" t="e">
        <f>IF(H25="KP-TypJ",INDEX(TW!$O$168:$P$176,MATCH(V25,TW!$N$168:$N$176,0),MATCH(CJ25-0,TW!$O$167:$P$167,0)),IF(OR($H25="KP-11",$H25="KP-12"),$GQ25,$HM25+$GQ25))</f>
        <v>#N/A</v>
      </c>
    </row>
    <row r="26" spans="1:222" x14ac:dyDescent="0.25">
      <c r="A26" s="349"/>
      <c r="B26" s="350"/>
      <c r="C26" s="417"/>
      <c r="D26" s="350"/>
      <c r="E26" s="349"/>
      <c r="F26" s="350"/>
      <c r="G26" s="17"/>
      <c r="H26" s="420"/>
      <c r="I26" s="421"/>
      <c r="J26" s="421"/>
      <c r="K26" s="418"/>
      <c r="L26" s="418"/>
      <c r="M26" s="419"/>
      <c r="N26" s="10"/>
      <c r="O26" s="289"/>
      <c r="P26" s="290"/>
      <c r="Q26" s="13" t="s">
        <v>7</v>
      </c>
      <c r="R26" s="412"/>
      <c r="S26" s="413"/>
      <c r="T26" s="414"/>
      <c r="U26" s="415"/>
      <c r="V26" s="289"/>
      <c r="W26" s="290"/>
      <c r="X26" s="393" t="str">
        <f t="shared" si="7"/>
        <v/>
      </c>
      <c r="Y26" s="394"/>
      <c r="Z26" s="369"/>
      <c r="AA26" s="370"/>
      <c r="AB26" s="397"/>
      <c r="AC26" s="398"/>
      <c r="AD26" s="383"/>
      <c r="AE26" s="384"/>
      <c r="AF26" s="395"/>
      <c r="AG26" s="396"/>
      <c r="AH26" s="230"/>
      <c r="AI26" s="69" t="str">
        <f t="shared" si="8"/>
        <v/>
      </c>
      <c r="AJ26" s="18"/>
      <c r="AK26" s="349"/>
      <c r="AL26" s="350"/>
      <c r="AM26" s="349"/>
      <c r="AN26" s="350"/>
      <c r="AO26" s="318" t="str">
        <f>IF(AND(OR(H26="KP-8",H26="KP-10"),V26&gt;0),VLOOKUP(V26,'.'!$AO$32:$AQ$40,2,FALSE),"")</f>
        <v/>
      </c>
      <c r="AP26" s="319"/>
      <c r="AQ26" s="316" t="str">
        <f>IF(AND(OR(H26="KP-8",H26="KP-10"),V26&gt;0),VLOOKUP(V26,'.'!$AO$32:$AQ$40,3,FALSE),"")</f>
        <v/>
      </c>
      <c r="AR26" s="317"/>
      <c r="AS26" s="339" t="str">
        <f t="shared" si="9"/>
        <v/>
      </c>
      <c r="AT26" s="340"/>
      <c r="AU26" s="314"/>
      <c r="AV26" s="315"/>
      <c r="AW26" s="314"/>
      <c r="AX26" s="315"/>
      <c r="AY26" s="12"/>
      <c r="AZ26" s="291"/>
      <c r="BA26" s="292"/>
      <c r="BB26" s="292"/>
      <c r="BC26" s="293"/>
      <c r="BD26" s="5"/>
      <c r="BE26" s="5"/>
      <c r="BF26" s="128" t="str">
        <f t="shared" si="10"/>
        <v>-</v>
      </c>
      <c r="BG26" s="129" t="str">
        <f t="shared" si="11"/>
        <v>-</v>
      </c>
      <c r="BH26" s="130" t="str">
        <f t="shared" si="12"/>
        <v>-</v>
      </c>
      <c r="BI26" s="130" t="str">
        <f t="shared" si="13"/>
        <v>-</v>
      </c>
      <c r="BJ26" s="136"/>
      <c r="BK26" s="177" t="str">
        <f t="shared" si="14"/>
        <v>-</v>
      </c>
      <c r="BL26" s="136"/>
      <c r="BM26" s="143" t="str">
        <f t="shared" si="15"/>
        <v>-</v>
      </c>
      <c r="BN26" s="143" t="str">
        <f t="shared" si="16"/>
        <v>-</v>
      </c>
      <c r="BQ26" s="225" t="str">
        <f>IF($H26="","leer",VLOOKUP($H26,'.'!$AO$7:$AY$28,2,FALSE))</f>
        <v>leer</v>
      </c>
      <c r="BR26" s="225" t="str">
        <f>IF($H26="","leer",VLOOKUP($H26,'.'!$AO$7:$AY$28,3,FALSE))</f>
        <v>leer</v>
      </c>
      <c r="BS26" s="225" t="str">
        <f>IF($H26="","Dleer.",IF(OR(K26="QD43",K26="QD43q"),"TypQD43D.",IF(OR(K26="QD51",K26="QD51q"),"TypQD51D.",IF(AND($H26='.'!$AO$22,$K26="02"),"TypG02D.",VLOOKUP($H26,'.'!$AO$7:$AY$28,4,FALSE)))))</f>
        <v>Dleer.</v>
      </c>
      <c r="BT26" s="225" t="str">
        <f>IF($H26="","ITleer.",VLOOKUP($H26,'.'!$AO$7:$AY$28,5,FALSE))</f>
        <v>ITleer.</v>
      </c>
      <c r="BU26" s="225" t="str">
        <f>IF($AD26="(PUR)","TypPURIS.",IF($H26="","ISleer.",VLOOKUP($H26,'.'!$AO$7:$AY$28,6,FALSE)))</f>
        <v>ISleer.</v>
      </c>
      <c r="BV26" s="225" t="str">
        <f>IF($H26="","Fleer.",VLOOKUP($H26,'.'!$AO$7:$AY$28,7,FALSE))</f>
        <v>Fleer.</v>
      </c>
      <c r="BW26" s="225" t="str">
        <f>IF($H26="","leer",IF(AH26&lt;T26*100+220,"leer",VLOOKUP($H26,'.'!$AO$7:$AY$28,8,FALSE)))</f>
        <v>leer</v>
      </c>
      <c r="BX26" s="225" t="str">
        <f>IF($H26="","leer",VLOOKUP($H26,'.'!$AO$7:$AY$28,9,FALSE))</f>
        <v>leer</v>
      </c>
      <c r="BY26" s="225" t="str">
        <f>IF($H26="","leer",VLOOKUP($H26,'.'!$AO$7:$AY$28,10,FALSE))</f>
        <v>leer</v>
      </c>
      <c r="BZ26" s="226" t="e">
        <f>INDEX('.'!$AP$43:$BA$53,MATCH(H26,'.'!$AO$43:$AO$53,0),MATCH(K26,'.'!$AP$42:$BA$42,0))</f>
        <v>#N/A</v>
      </c>
      <c r="CA26" s="225" t="str">
        <f>IF($H26="","leer",VLOOKUP($H26,'.'!$AO$7:$AY$28,11,FALSE))</f>
        <v>leer</v>
      </c>
      <c r="CB26" s="225" t="e">
        <f>INDEX('.'!$AP$56:$BA$66,MATCH(H26,'.'!$AO$56:$AO$66,0),MATCH(K26,'.'!$AP$55:$BA$55,0))</f>
        <v>#N/A</v>
      </c>
      <c r="CC26" s="225" t="str">
        <f>IF(OR($H26="",$H26="KP-TypB",$H26="KP-TypC",$H26="KP-TypD",$H26="KP-TypH",$H26="KP-TypJ",$H26="KP-TypK"),"leer",IF(OR($H26="KP-1",$H26="KPE-1",$H26="KP-3",$H26="KPE-3",$H26="KP-11",$H26="KP-12",$H26="KP-TypG"),VLOOKUP(O26,'.'!$BA$7:$BB$15,2,FALSE),IF(OR($H26="KP-2",$H26="KP-7"),VLOOKUP(O26,'.'!$BD$7:$BE$15,2,FALSE),"n0.")))</f>
        <v>leer</v>
      </c>
      <c r="CD26" s="227" t="e">
        <f>INDEX('.'!$AP$69:$BA$79,MATCH(H26,'.'!$AO$69:$AO$79,0),MATCH(K26,'.'!$AP$68:$BA$68,0))</f>
        <v>#N/A</v>
      </c>
      <c r="CF26" s="117" t="e">
        <f>VLOOKUP($H26,TW!$L$54:$M$72,TW!$M$54,FALSE)</f>
        <v>#N/A</v>
      </c>
      <c r="CG26" s="117">
        <f t="shared" si="17"/>
        <v>0</v>
      </c>
      <c r="CH26" s="118">
        <f t="shared" si="18"/>
        <v>0</v>
      </c>
      <c r="CI26" s="118">
        <f t="shared" si="1"/>
        <v>0</v>
      </c>
      <c r="CJ26" s="117">
        <f t="shared" si="19"/>
        <v>0</v>
      </c>
      <c r="CK26" s="117" t="str">
        <f t="shared" si="20"/>
        <v>ø0-0</v>
      </c>
      <c r="CL26" s="122" t="b">
        <f>IF($H26="KP-1",INDEX(TW!$B$54:$J$63,MATCH($CI26,TW!$B$54:$B$63,0),MATCH($CK26,TW!$B$54:$J$54,0)),IF($H26="KPE-1",INDEX(TW!$B$66:$J$74,MATCH($CI26,TW!$B$66:$B$74,0),MATCH($CK26,TW!$B$66:$J$66,0)),IF($H26="KP-3",INDEX(TW!$B$77:$J$86,MATCH($CI26,TW!$B$77:$B$86,0),MATCH($CK26,TW!$B$77:$J$77,0)),IF($H26="KPE-3",INDEX(TW!$B$89:$J$97,MATCH($CI26,TW!$B$89:$B$97,0),MATCH($CK26,TW!$B$89:$J$89,0)),IF(OR($H26="KP-2",$H26="KP-7"),INDEX(TW!$B$100:$V$109,MATCH($CI26,TW!$B$100:$B$109,0),MATCH($CK26,TW!$B$100:$V$100,0)),IF($H26="KP-10",INDEX(TW!$B$121:$F$130,MATCH($CI26,TW!$B$121:$B$130,0),MATCH($CJ26,TW!$B$121:$F$121,0)),IF($H26="KP-11",INDEX(TW!$B$133:$J$141,MATCH($CI26,TW!$B$133:$B$141,0),MATCH($CK26,TW!$B$133:$J$133,0)),IF($H26="KP-12",INDEX(TW!$B$144:$J$152,MATCH($CI26,TW!$B$144:$B$152,0),MATCH($CK26,TW!$B$144:$J$144,0))))))))))</f>
        <v>0</v>
      </c>
      <c r="CM26" s="117" t="e">
        <f>VLOOKUP($CH26,TW!$B$112:$C$118,TW!$C$113,FALSE)</f>
        <v>#N/A</v>
      </c>
      <c r="CN26" s="235">
        <f t="shared" si="21"/>
        <v>0</v>
      </c>
      <c r="CO26" s="122">
        <f t="shared" si="22"/>
        <v>1</v>
      </c>
      <c r="CP26" s="122" t="e">
        <f>$CL26*(VLOOKUP($CH26,TW!$B$112:$D$118,TW!$D$113,FALSE)/INDEX(TW!$F$112:$J$117,MATCH($CH26,TW!$F$112:$F$117,0),MATCH($CJ26,TW!$F$112:$J$112,0)))</f>
        <v>#N/A</v>
      </c>
      <c r="CQ26" s="122" t="b">
        <f t="shared" si="23"/>
        <v>0</v>
      </c>
      <c r="CR26" s="122" t="str">
        <f t="shared" si="24"/>
        <v>leer</v>
      </c>
      <c r="CS26" s="122">
        <f>IF(H26="KP-12",INDEX(TW!$H$42:$L$50,MATCH($CY26,TW!$B$42:$B$50,0),MATCH($CZ26,TW!$B$42:$F$42,0)),0)</f>
        <v>0</v>
      </c>
      <c r="CT26" s="122">
        <f t="shared" si="25"/>
        <v>-60</v>
      </c>
      <c r="CU26" s="122">
        <f t="shared" si="26"/>
        <v>0</v>
      </c>
      <c r="CV26" s="122" t="str">
        <f>IF(H26="KP-TypJ",INDEX(TW!$K$168:$L$176,MATCH(V26,TW!$H$156:$H$164,0),MATCH(AF26-0,TW!$K$167:$L$167,0)),IF($H26="KP-7",$CG26*$CR26,IF(OR($H26="KP-9",$H26="KPE-9"),999,IF(ISNUMBER($CL26),$CL26*$CG26-$CU26,"-"))))</f>
        <v>-</v>
      </c>
      <c r="CW26" s="101" t="e">
        <f>VLOOKUP($H26,TW!$H$13:$I$30,TW!$I$13,FALSE)</f>
        <v>#N/A</v>
      </c>
      <c r="CX26" s="102" t="str">
        <f t="shared" si="27"/>
        <v>leer</v>
      </c>
      <c r="CY26" s="102">
        <f t="shared" si="28"/>
        <v>-60</v>
      </c>
      <c r="CZ26" s="102">
        <f t="shared" si="2"/>
        <v>0</v>
      </c>
      <c r="DA26" s="115" t="e">
        <f>IF($H26="KP-6",INDEX(TW!$B$25:$F$27,MATCH($CY26,TW!$B$25:$B$27,0),MATCH($CZ26,TW!$B$25:$F$25,0)),IF(OR($H26="KP-8",$H26="KP-10"),INDEX(TW!$B$30:$F$39,MATCH($CY26,TW!$B$30:$B$39,0),MATCH($CZ26,TW!$B$30:$F$30,0)),IF(OR($H26="KP-11",$H26="KP-12"),INDEX(TW!$B$42:$F$50,MATCH($CY26,TW!$B$42:$B$50,0),MATCH($CZ26,TW!$B$42:$F$42,0)),INDEX(TW!$B$13:$F$22,MATCH($CY26,TW!$B$13:$B$22,0),MATCH($CZ26,TW!$B$13:$F$13,0)))))</f>
        <v>#N/A</v>
      </c>
      <c r="DB26" s="115" t="str">
        <f>IF(AND(NOT(CZ26=0),OR(K26="QD43",K26="QD43q",K26="QD51",K26="QD51q")),INDEX(TW!$C$156:$F$164,MATCH(V26,TW!$B$156:$B$164,0),MATCH(K26,TW!$C$155:$F$155,0)),IF(AND(ISNUMBER($CX26),ISNUMBER($DA26)),$CX26*$DA26,"-"))</f>
        <v>-</v>
      </c>
      <c r="DC26" s="236" t="str">
        <f t="shared" si="29"/>
        <v>leer</v>
      </c>
      <c r="DD26" s="236" t="str">
        <f t="shared" si="4"/>
        <v>leer</v>
      </c>
      <c r="DE26" s="236" t="e">
        <f>VLOOKUP($DD26,TW!$B$4:$H$9,TW!$H$4,FALSE)</f>
        <v>#N/A</v>
      </c>
      <c r="DF26" s="237">
        <f t="shared" si="30"/>
        <v>0</v>
      </c>
      <c r="DG26" s="82">
        <f t="shared" si="31"/>
        <v>1</v>
      </c>
      <c r="DH26" s="82" t="e">
        <f>VLOOKUP($DD26,TW!$B$4:$H$9,TW!$G$4,FALSE)</f>
        <v>#N/A</v>
      </c>
      <c r="DI26" s="236" t="str">
        <f>IF($AF26="","leer",IF($AF26=60,VLOOKUP($DD26,TW!$B$4:$H$9,TW!$C$4,FALSE),IF($AF26=80,VLOOKUP($DD26,TW!$B$4:$H$9,TW!$D$4,FALSE),IF($AF26=100,VLOOKUP($DD26,TW!$B$4:$H$9,TW!$E$4,FALSE),IF($AF26=120,VLOOKUP($DD26,TW!$B$4:$H$9,TW!$F$4,FALSE),"")))))</f>
        <v>leer</v>
      </c>
      <c r="DJ26" s="82" t="str">
        <f t="shared" si="32"/>
        <v>leer</v>
      </c>
      <c r="DK26" s="82" t="e">
        <f>IF(H26="KP-TypH",INDEX(TW!$C$168:$D$176,MATCH(V26,TW!$B$168:$B$176,0),MATCH(CJ26-0,TW!$C$167:$D$167,0)),IF(H26="KP-TypJ",INDEX(TW!$G$168:$H$176,MATCH(V26,TW!$F$168:$F$176,0),MATCH(CJ26-0,TW!$G$167:$H$167,0)),$DJ26*$DC26))</f>
        <v>#VALUE!</v>
      </c>
      <c r="DL26" s="77" t="str">
        <f>IF(AND(NOT(CZ26=0),OR(K26="QD43",K26="QD43q",K26="QD51",K26="QD51q")),INDEX(TW!$I$156:$L$164,MATCH(V26,TW!$H$156:$H$164,0),MATCH(K26,TW!$I$155:$L$155,0)),IF(OR(AND($H26="KP-TypG",$K26="02")),100,IF(OR($AU26="x",AND($H26="KP-TypG",$K26="01")),50,"-")))</f>
        <v>-</v>
      </c>
      <c r="DN26" s="171">
        <f t="shared" si="33"/>
        <v>0</v>
      </c>
      <c r="DO26" s="238">
        <f>IF(ISBLANK($AD26),0,INDEX(BP!$B$3:$C$8,MATCH($AD26,BP!$B$3:$B$8,0),2))</f>
        <v>0</v>
      </c>
      <c r="DP26" s="170">
        <f t="shared" si="34"/>
        <v>0</v>
      </c>
      <c r="DQ26" s="163">
        <f t="shared" si="35"/>
        <v>0</v>
      </c>
      <c r="DR26" s="163">
        <f t="shared" si="36"/>
        <v>0</v>
      </c>
      <c r="DS26" s="169">
        <f>INDEX(BP!$B$3:$C$8,6,2)</f>
        <v>0.17499999999999999</v>
      </c>
      <c r="DT26" s="162">
        <f t="shared" si="37"/>
        <v>0</v>
      </c>
      <c r="DU26" s="163">
        <f t="shared" si="38"/>
        <v>0</v>
      </c>
      <c r="DV26" s="170">
        <f t="shared" si="39"/>
        <v>0</v>
      </c>
      <c r="DW26" s="170" t="e">
        <f>INDEX(BP!$B$12:$F$29,MATCH($H26,BP!$B$12:$B$29,0),3)</f>
        <v>#N/A</v>
      </c>
      <c r="DX26" s="170" t="e">
        <f>INDEX(BP!$B$12:$F$29,MATCH($H26,BP!$B$12:$B$29,0),4)</f>
        <v>#N/A</v>
      </c>
      <c r="DY26" s="169" t="e">
        <f t="shared" si="40"/>
        <v>#N/A</v>
      </c>
      <c r="DZ26" s="169" t="e">
        <f t="shared" si="41"/>
        <v>#N/A</v>
      </c>
      <c r="EA26" s="169" t="e">
        <f t="shared" si="42"/>
        <v>#N/A</v>
      </c>
      <c r="EB26" s="169" t="str">
        <f t="shared" si="43"/>
        <v>-</v>
      </c>
      <c r="EC26" s="169" t="e">
        <f t="shared" si="44"/>
        <v>#VALUE!</v>
      </c>
      <c r="ED26" s="169">
        <f>IF(OR(K26="QD43",K26="QD43q"),BP!$C$92,IF(OR(K26="QD51",K26="QD51q"),BP!$C$94,15))</f>
        <v>15</v>
      </c>
      <c r="EE26" s="163">
        <f>IF(OR(K26="QD43",K26="QD43q"),BP!$D$92,IF(OR(K26="QD51",K26="QD51q"),BP!$D$94,IF($DV26=0,0,IF($DW26="SP",$EA26*$DV26,$DV26*$EC26))))</f>
        <v>0</v>
      </c>
      <c r="EF26" s="163">
        <f t="shared" si="45"/>
        <v>0</v>
      </c>
      <c r="EG26" s="169">
        <f t="shared" si="46"/>
        <v>0</v>
      </c>
      <c r="EH26" s="170">
        <f t="shared" si="47"/>
        <v>1100</v>
      </c>
      <c r="EI26" s="169">
        <v>15</v>
      </c>
      <c r="EJ26" s="162">
        <f t="shared" si="48"/>
        <v>0</v>
      </c>
      <c r="EK26" s="162">
        <f t="shared" si="49"/>
        <v>0</v>
      </c>
      <c r="EL26" s="169" t="b">
        <f t="shared" si="50"/>
        <v>0</v>
      </c>
      <c r="EM26" s="239" t="b">
        <f t="shared" si="51"/>
        <v>0</v>
      </c>
      <c r="EN26" s="169">
        <f t="shared" si="52"/>
        <v>0</v>
      </c>
      <c r="EO26" s="169" t="e">
        <f>INDEX(BP!$B$12:$F$29,MATCH($H26,BP!$B$12:$B$29,0),5)</f>
        <v>#N/A</v>
      </c>
      <c r="EP26" s="162">
        <f t="shared" si="53"/>
        <v>0</v>
      </c>
      <c r="EQ26" s="162" t="e">
        <f t="shared" si="54"/>
        <v>#N/A</v>
      </c>
      <c r="ER26" s="169" t="e">
        <f>INDEX(BP!$B$12:$F$29,MATCH($H26,BP!$B$12:$B$29,0),2)</f>
        <v>#N/A</v>
      </c>
      <c r="ES26" s="169" t="str">
        <f>IF(OR($H26="KP-1",$H26="KPE-1",$H26="KP-11"),INDEX(BP!$B$32:$F$41,MATCH($V26,BP!$B$32:$B$41,0),MATCH($AF26,BP!$B$32:$F$32,0)),IF(OR($H26="KP-3",$H26="KPE-3"),INDEX(BP!$B$44:$F$53,MATCH($V26,BP!$B$44:$B$53,0),MATCH($AF26,BP!$B$44:$F$44,0)),"DS"))</f>
        <v>DS</v>
      </c>
      <c r="ET26" s="169" t="b">
        <f t="shared" si="55"/>
        <v>0</v>
      </c>
      <c r="EU26" s="169" t="e">
        <f>INDEX(BP!$B$64:$D$66,MATCH($EM26,BP!$B$64:$B$66,0),2)</f>
        <v>#N/A</v>
      </c>
      <c r="EV26" s="169" t="e">
        <f>IF($H26="KP-11",INDEX(BP!$B$64:$D$74,MATCH($K26,BP!$B$64:$B$74,0),3),$ET26*$EU26)</f>
        <v>#N/A</v>
      </c>
      <c r="EW26" s="169" t="e">
        <f>INDEX(BP!$B$57:$D$60,MATCH($ES26,BP!$B$57:$B$60,0),3)</f>
        <v>#N/A</v>
      </c>
      <c r="EX26" s="169" t="e">
        <f>INDEX(BP!$B$57:$D$60,MATCH($ES26,BP!$B$57:$B$60,0),2)</f>
        <v>#N/A</v>
      </c>
      <c r="EY26" s="163" t="e">
        <f t="shared" si="56"/>
        <v>#N/A</v>
      </c>
      <c r="EZ26" s="163" t="e">
        <f t="shared" si="57"/>
        <v>#N/A</v>
      </c>
      <c r="FA26" s="158" t="b">
        <f t="shared" si="58"/>
        <v>0</v>
      </c>
      <c r="FB26" s="158">
        <f t="shared" si="59"/>
        <v>0</v>
      </c>
      <c r="FC26" s="159">
        <f t="shared" si="60"/>
        <v>0</v>
      </c>
      <c r="FE26" s="240">
        <f t="shared" si="61"/>
        <v>0</v>
      </c>
      <c r="FF26" s="240">
        <f t="shared" si="62"/>
        <v>0</v>
      </c>
      <c r="FG26" s="198" t="str">
        <f t="shared" si="63"/>
        <v>-</v>
      </c>
      <c r="FH26" s="198" t="str">
        <f t="shared" si="64"/>
        <v>-</v>
      </c>
      <c r="FI26" s="198" t="b">
        <f t="shared" si="65"/>
        <v>0</v>
      </c>
      <c r="FJ26" s="198" t="str">
        <f t="shared" si="66"/>
        <v>DS</v>
      </c>
      <c r="FK26" s="198" t="b">
        <f t="shared" si="67"/>
        <v>0</v>
      </c>
      <c r="FL26" s="198" t="str">
        <f t="shared" si="68"/>
        <v>-</v>
      </c>
      <c r="FM26" s="241" t="e">
        <f t="shared" si="69"/>
        <v>#VALUE!</v>
      </c>
      <c r="FN26" s="198">
        <f t="shared" si="70"/>
        <v>170000</v>
      </c>
      <c r="FO26" s="198" t="b">
        <f t="shared" si="71"/>
        <v>0</v>
      </c>
      <c r="FP26" s="198" t="str">
        <f t="shared" si="72"/>
        <v>-</v>
      </c>
      <c r="FQ26" s="198" t="str">
        <f t="shared" si="73"/>
        <v>-</v>
      </c>
      <c r="FR26" s="198">
        <f t="shared" si="74"/>
        <v>0</v>
      </c>
      <c r="FS26" s="198">
        <f t="shared" si="75"/>
        <v>0</v>
      </c>
      <c r="FT26" s="198">
        <f t="shared" si="76"/>
        <v>565.21739130434787</v>
      </c>
      <c r="FU26" s="242" t="e">
        <f>IF($FJ26="DS",INDEX(BP!$B$77:$F$87,MATCH($FI26,BP!$B$77:$B$87,0),MATCH($FF26,BP!$B$77:$F$77,0)),INDEX(BP!$B$77:$F$87,MATCH($FJ26,BP!$B$77:$B$87,0),MATCH($FF26,BP!$B$77:$F$77,0)))</f>
        <v>#N/A</v>
      </c>
      <c r="FV26" s="198" t="e">
        <f t="shared" si="77"/>
        <v>#N/A</v>
      </c>
      <c r="FW26" s="198">
        <f t="shared" si="78"/>
        <v>170000</v>
      </c>
      <c r="FX26" s="198">
        <v>20</v>
      </c>
      <c r="FY26" s="198">
        <v>35000</v>
      </c>
      <c r="FZ26" s="198">
        <v>1</v>
      </c>
      <c r="GA26" s="198" t="e">
        <f t="shared" si="79"/>
        <v>#VALUE!</v>
      </c>
      <c r="GB26" s="198" t="e">
        <f t="shared" si="80"/>
        <v>#VALUE!</v>
      </c>
      <c r="GC26" s="198" t="e">
        <f t="shared" si="81"/>
        <v>#VALUE!</v>
      </c>
      <c r="GD26" s="240">
        <f t="shared" si="82"/>
        <v>0</v>
      </c>
      <c r="GE26" s="242" t="e">
        <f t="shared" si="83"/>
        <v>#VALUE!</v>
      </c>
      <c r="GF26" s="242" t="e">
        <f t="shared" si="84"/>
        <v>#VALUE!</v>
      </c>
      <c r="GG26" s="242" t="e">
        <f t="shared" si="85"/>
        <v>#VALUE!</v>
      </c>
      <c r="GH26" s="243" t="e">
        <f t="shared" si="86"/>
        <v>#VALUE!</v>
      </c>
      <c r="GI26" s="243" t="e">
        <f t="shared" si="87"/>
        <v>#VALUE!</v>
      </c>
      <c r="GJ26" s="243" t="e">
        <f t="shared" si="88"/>
        <v>#VALUE!</v>
      </c>
      <c r="GK26" s="240">
        <f t="shared" si="89"/>
        <v>0</v>
      </c>
      <c r="GL26" s="198">
        <f t="shared" si="90"/>
        <v>0</v>
      </c>
      <c r="GM26" s="198">
        <f t="shared" si="91"/>
        <v>0</v>
      </c>
      <c r="GN26" s="240" t="e">
        <f t="shared" si="92"/>
        <v>#VALUE!</v>
      </c>
      <c r="GO26" s="243" t="e">
        <f t="shared" si="93"/>
        <v>#VALUE!</v>
      </c>
      <c r="GP26" s="198" t="e">
        <f t="shared" si="94"/>
        <v>#VALUE!</v>
      </c>
      <c r="GQ26" s="244" t="e">
        <f t="shared" si="95"/>
        <v>#VALUE!</v>
      </c>
      <c r="GR26" s="199" t="e">
        <f t="shared" si="96"/>
        <v>#N/A</v>
      </c>
      <c r="GS26" s="198" t="e">
        <f t="shared" si="97"/>
        <v>#N/A</v>
      </c>
      <c r="GT26" s="198" t="e">
        <f t="shared" si="98"/>
        <v>#N/A</v>
      </c>
      <c r="GU26" s="198" t="e">
        <f t="shared" si="99"/>
        <v>#N/A</v>
      </c>
      <c r="GV26" s="245">
        <f t="shared" si="100"/>
        <v>0</v>
      </c>
      <c r="GW26" s="198">
        <v>170000</v>
      </c>
      <c r="GX26" s="198">
        <v>8</v>
      </c>
      <c r="GY26" s="198">
        <f t="shared" si="101"/>
        <v>50.26548245743669</v>
      </c>
      <c r="GZ26" s="198" t="e">
        <f t="shared" si="102"/>
        <v>#N/A</v>
      </c>
      <c r="HA26" s="198">
        <v>1</v>
      </c>
      <c r="HB26" s="198" t="e">
        <f t="shared" si="103"/>
        <v>#N/A</v>
      </c>
      <c r="HC26" s="198" t="e">
        <f t="shared" si="104"/>
        <v>#N/A</v>
      </c>
      <c r="HD26" s="198" t="e">
        <f t="shared" si="105"/>
        <v>#N/A</v>
      </c>
      <c r="HE26" s="198">
        <f t="shared" si="106"/>
        <v>120</v>
      </c>
      <c r="HF26" s="198">
        <f t="shared" si="106"/>
        <v>120</v>
      </c>
      <c r="HG26" s="198">
        <v>100</v>
      </c>
      <c r="HH26" s="198" t="e">
        <f t="shared" si="107"/>
        <v>#N/A</v>
      </c>
      <c r="HI26" s="198" t="e">
        <f t="shared" si="108"/>
        <v>#N/A</v>
      </c>
      <c r="HJ26" s="198" t="e">
        <f t="shared" si="109"/>
        <v>#N/A</v>
      </c>
      <c r="HK26" s="198" t="e">
        <f t="shared" si="110"/>
        <v>#N/A</v>
      </c>
      <c r="HL26" s="198" t="e">
        <f t="shared" si="111"/>
        <v>#N/A</v>
      </c>
      <c r="HM26" s="198" t="e">
        <f t="shared" si="112"/>
        <v>#N/A</v>
      </c>
      <c r="HN26" s="241" t="e">
        <f>IF(H26="KP-TypJ",INDEX(TW!$O$168:$P$176,MATCH(V26,TW!$N$168:$N$176,0),MATCH(CJ26-0,TW!$O$167:$P$167,0)),IF(OR($H26="KP-11",$H26="KP-12"),$GQ26,$HM26+$GQ26))</f>
        <v>#N/A</v>
      </c>
    </row>
    <row r="27" spans="1:222" x14ac:dyDescent="0.25">
      <c r="A27" s="349"/>
      <c r="B27" s="350"/>
      <c r="C27" s="417"/>
      <c r="D27" s="350"/>
      <c r="E27" s="349"/>
      <c r="F27" s="350"/>
      <c r="G27" s="17"/>
      <c r="H27" s="420"/>
      <c r="I27" s="421"/>
      <c r="J27" s="421"/>
      <c r="K27" s="418"/>
      <c r="L27" s="418"/>
      <c r="M27" s="419"/>
      <c r="N27" s="10"/>
      <c r="O27" s="289"/>
      <c r="P27" s="290"/>
      <c r="Q27" s="13" t="s">
        <v>7</v>
      </c>
      <c r="R27" s="412"/>
      <c r="S27" s="413"/>
      <c r="T27" s="414"/>
      <c r="U27" s="415"/>
      <c r="V27" s="289"/>
      <c r="W27" s="290"/>
      <c r="X27" s="393" t="str">
        <f t="shared" si="7"/>
        <v/>
      </c>
      <c r="Y27" s="394"/>
      <c r="Z27" s="369"/>
      <c r="AA27" s="370"/>
      <c r="AB27" s="397"/>
      <c r="AC27" s="398"/>
      <c r="AD27" s="383"/>
      <c r="AE27" s="384"/>
      <c r="AF27" s="395"/>
      <c r="AG27" s="396"/>
      <c r="AH27" s="230"/>
      <c r="AI27" s="69" t="str">
        <f t="shared" si="8"/>
        <v/>
      </c>
      <c r="AJ27" s="18"/>
      <c r="AK27" s="349"/>
      <c r="AL27" s="350"/>
      <c r="AM27" s="349"/>
      <c r="AN27" s="350"/>
      <c r="AO27" s="318" t="str">
        <f>IF(AND(OR(H27="KP-8",H27="KP-10"),V27&gt;0),VLOOKUP(V27,'.'!$AO$32:$AQ$40,2,FALSE),"")</f>
        <v/>
      </c>
      <c r="AP27" s="319"/>
      <c r="AQ27" s="316" t="str">
        <f>IF(AND(OR(H27="KP-8",H27="KP-10"),V27&gt;0),VLOOKUP(V27,'.'!$AO$32:$AQ$40,3,FALSE),"")</f>
        <v/>
      </c>
      <c r="AR27" s="317"/>
      <c r="AS27" s="339" t="str">
        <f t="shared" si="9"/>
        <v/>
      </c>
      <c r="AT27" s="340"/>
      <c r="AU27" s="314"/>
      <c r="AV27" s="315"/>
      <c r="AW27" s="314"/>
      <c r="AX27" s="315"/>
      <c r="AY27" s="12"/>
      <c r="AZ27" s="291"/>
      <c r="BA27" s="292"/>
      <c r="BB27" s="292"/>
      <c r="BC27" s="293"/>
      <c r="BD27" s="5"/>
      <c r="BE27" s="5"/>
      <c r="BF27" s="128" t="str">
        <f t="shared" si="10"/>
        <v>-</v>
      </c>
      <c r="BG27" s="129" t="str">
        <f t="shared" si="11"/>
        <v>-</v>
      </c>
      <c r="BH27" s="130" t="str">
        <f t="shared" si="12"/>
        <v>-</v>
      </c>
      <c r="BI27" s="130" t="str">
        <f t="shared" si="13"/>
        <v>-</v>
      </c>
      <c r="BJ27" s="136"/>
      <c r="BK27" s="177" t="str">
        <f t="shared" si="14"/>
        <v>-</v>
      </c>
      <c r="BL27" s="136"/>
      <c r="BM27" s="143" t="str">
        <f t="shared" si="15"/>
        <v>-</v>
      </c>
      <c r="BN27" s="143" t="str">
        <f t="shared" si="16"/>
        <v>-</v>
      </c>
      <c r="BQ27" s="225" t="str">
        <f>IF($H27="","leer",VLOOKUP($H27,'.'!$AO$7:$AY$28,2,FALSE))</f>
        <v>leer</v>
      </c>
      <c r="BR27" s="225" t="str">
        <f>IF($H27="","leer",VLOOKUP($H27,'.'!$AO$7:$AY$28,3,FALSE))</f>
        <v>leer</v>
      </c>
      <c r="BS27" s="225" t="str">
        <f>IF($H27="","Dleer.",IF(OR(K27="QD43",K27="QD43q"),"TypQD43D.",IF(OR(K27="QD51",K27="QD51q"),"TypQD51D.",IF(AND($H27='.'!$AO$22,$K27="02"),"TypG02D.",VLOOKUP($H27,'.'!$AO$7:$AY$28,4,FALSE)))))</f>
        <v>Dleer.</v>
      </c>
      <c r="BT27" s="225" t="str">
        <f>IF($H27="","ITleer.",VLOOKUP($H27,'.'!$AO$7:$AY$28,5,FALSE))</f>
        <v>ITleer.</v>
      </c>
      <c r="BU27" s="225" t="str">
        <f>IF($AD27="(PUR)","TypPURIS.",IF($H27="","ISleer.",VLOOKUP($H27,'.'!$AO$7:$AY$28,6,FALSE)))</f>
        <v>ISleer.</v>
      </c>
      <c r="BV27" s="225" t="str">
        <f>IF($H27="","Fleer.",VLOOKUP($H27,'.'!$AO$7:$AY$28,7,FALSE))</f>
        <v>Fleer.</v>
      </c>
      <c r="BW27" s="225" t="str">
        <f>IF($H27="","leer",IF(AH27&lt;T27*100+220,"leer",VLOOKUP($H27,'.'!$AO$7:$AY$28,8,FALSE)))</f>
        <v>leer</v>
      </c>
      <c r="BX27" s="225" t="str">
        <f>IF($H27="","leer",VLOOKUP($H27,'.'!$AO$7:$AY$28,9,FALSE))</f>
        <v>leer</v>
      </c>
      <c r="BY27" s="225" t="str">
        <f>IF($H27="","leer",VLOOKUP($H27,'.'!$AO$7:$AY$28,10,FALSE))</f>
        <v>leer</v>
      </c>
      <c r="BZ27" s="226" t="e">
        <f>INDEX('.'!$AP$43:$BA$53,MATCH(H27,'.'!$AO$43:$AO$53,0),MATCH(K27,'.'!$AP$42:$BA$42,0))</f>
        <v>#N/A</v>
      </c>
      <c r="CA27" s="225" t="str">
        <f>IF($H27="","leer",VLOOKUP($H27,'.'!$AO$7:$AY$28,11,FALSE))</f>
        <v>leer</v>
      </c>
      <c r="CB27" s="225" t="e">
        <f>INDEX('.'!$AP$56:$BA$66,MATCH(H27,'.'!$AO$56:$AO$66,0),MATCH(K27,'.'!$AP$55:$BA$55,0))</f>
        <v>#N/A</v>
      </c>
      <c r="CC27" s="225" t="str">
        <f>IF(OR($H27="",$H27="KP-TypB",$H27="KP-TypC",$H27="KP-TypD",$H27="KP-TypH",$H27="KP-TypJ",$H27="KP-TypK"),"leer",IF(OR($H27="KP-1",$H27="KPE-1",$H27="KP-3",$H27="KPE-3",$H27="KP-11",$H27="KP-12",$H27="KP-TypG"),VLOOKUP(O27,'.'!$BA$7:$BB$15,2,FALSE),IF(OR($H27="KP-2",$H27="KP-7"),VLOOKUP(O27,'.'!$BD$7:$BE$15,2,FALSE),"n0.")))</f>
        <v>leer</v>
      </c>
      <c r="CD27" s="227" t="e">
        <f>INDEX('.'!$AP$69:$BA$79,MATCH(H27,'.'!$AO$69:$AO$79,0),MATCH(K27,'.'!$AP$68:$BA$68,0))</f>
        <v>#N/A</v>
      </c>
      <c r="CF27" s="117" t="e">
        <f>VLOOKUP($H27,TW!$L$54:$M$72,TW!$M$54,FALSE)</f>
        <v>#N/A</v>
      </c>
      <c r="CG27" s="117">
        <f t="shared" si="17"/>
        <v>0</v>
      </c>
      <c r="CH27" s="118">
        <f t="shared" si="18"/>
        <v>0</v>
      </c>
      <c r="CI27" s="118">
        <f t="shared" si="1"/>
        <v>0</v>
      </c>
      <c r="CJ27" s="117">
        <f t="shared" si="19"/>
        <v>0</v>
      </c>
      <c r="CK27" s="117" t="str">
        <f t="shared" si="20"/>
        <v>ø0-0</v>
      </c>
      <c r="CL27" s="122" t="b">
        <f>IF($H27="KP-1",INDEX(TW!$B$54:$J$63,MATCH($CI27,TW!$B$54:$B$63,0),MATCH($CK27,TW!$B$54:$J$54,0)),IF($H27="KPE-1",INDEX(TW!$B$66:$J$74,MATCH($CI27,TW!$B$66:$B$74,0),MATCH($CK27,TW!$B$66:$J$66,0)),IF($H27="KP-3",INDEX(TW!$B$77:$J$86,MATCH($CI27,TW!$B$77:$B$86,0),MATCH($CK27,TW!$B$77:$J$77,0)),IF($H27="KPE-3",INDEX(TW!$B$89:$J$97,MATCH($CI27,TW!$B$89:$B$97,0),MATCH($CK27,TW!$B$89:$J$89,0)),IF(OR($H27="KP-2",$H27="KP-7"),INDEX(TW!$B$100:$V$109,MATCH($CI27,TW!$B$100:$B$109,0),MATCH($CK27,TW!$B$100:$V$100,0)),IF($H27="KP-10",INDEX(TW!$B$121:$F$130,MATCH($CI27,TW!$B$121:$B$130,0),MATCH($CJ27,TW!$B$121:$F$121,0)),IF($H27="KP-11",INDEX(TW!$B$133:$J$141,MATCH($CI27,TW!$B$133:$B$141,0),MATCH($CK27,TW!$B$133:$J$133,0)),IF($H27="KP-12",INDEX(TW!$B$144:$J$152,MATCH($CI27,TW!$B$144:$B$152,0),MATCH($CK27,TW!$B$144:$J$144,0))))))))))</f>
        <v>0</v>
      </c>
      <c r="CM27" s="117" t="e">
        <f>VLOOKUP($CH27,TW!$B$112:$C$118,TW!$C$113,FALSE)</f>
        <v>#N/A</v>
      </c>
      <c r="CN27" s="235">
        <f t="shared" si="21"/>
        <v>0</v>
      </c>
      <c r="CO27" s="122">
        <f t="shared" si="22"/>
        <v>1</v>
      </c>
      <c r="CP27" s="122" t="e">
        <f>$CL27*(VLOOKUP($CH27,TW!$B$112:$D$118,TW!$D$113,FALSE)/INDEX(TW!$F$112:$J$117,MATCH($CH27,TW!$F$112:$F$117,0),MATCH($CJ27,TW!$F$112:$J$112,0)))</f>
        <v>#N/A</v>
      </c>
      <c r="CQ27" s="122" t="b">
        <f t="shared" si="23"/>
        <v>0</v>
      </c>
      <c r="CR27" s="122" t="str">
        <f t="shared" si="24"/>
        <v>leer</v>
      </c>
      <c r="CS27" s="122">
        <f>IF(H27="KP-12",INDEX(TW!$H$42:$L$50,MATCH($CY27,TW!$B$42:$B$50,0),MATCH($CZ27,TW!$B$42:$F$42,0)),0)</f>
        <v>0</v>
      </c>
      <c r="CT27" s="122">
        <f t="shared" si="25"/>
        <v>-60</v>
      </c>
      <c r="CU27" s="122">
        <f t="shared" si="26"/>
        <v>0</v>
      </c>
      <c r="CV27" s="122" t="str">
        <f>IF(H27="KP-TypJ",INDEX(TW!$K$168:$L$176,MATCH(V27,TW!$H$156:$H$164,0),MATCH(AF27-0,TW!$K$167:$L$167,0)),IF($H27="KP-7",$CG27*$CR27,IF(OR($H27="KP-9",$H27="KPE-9"),999,IF(ISNUMBER($CL27),$CL27*$CG27-$CU27,"-"))))</f>
        <v>-</v>
      </c>
      <c r="CW27" s="101" t="e">
        <f>VLOOKUP($H27,TW!$H$13:$I$30,TW!$I$13,FALSE)</f>
        <v>#N/A</v>
      </c>
      <c r="CX27" s="102" t="str">
        <f t="shared" si="27"/>
        <v>leer</v>
      </c>
      <c r="CY27" s="102">
        <f t="shared" si="28"/>
        <v>-60</v>
      </c>
      <c r="CZ27" s="102">
        <f t="shared" si="2"/>
        <v>0</v>
      </c>
      <c r="DA27" s="115" t="e">
        <f>IF($H27="KP-6",INDEX(TW!$B$25:$F$27,MATCH($CY27,TW!$B$25:$B$27,0),MATCH($CZ27,TW!$B$25:$F$25,0)),IF(OR($H27="KP-8",$H27="KP-10"),INDEX(TW!$B$30:$F$39,MATCH($CY27,TW!$B$30:$B$39,0),MATCH($CZ27,TW!$B$30:$F$30,0)),IF(OR($H27="KP-11",$H27="KP-12"),INDEX(TW!$B$42:$F$50,MATCH($CY27,TW!$B$42:$B$50,0),MATCH($CZ27,TW!$B$42:$F$42,0)),INDEX(TW!$B$13:$F$22,MATCH($CY27,TW!$B$13:$B$22,0),MATCH($CZ27,TW!$B$13:$F$13,0)))))</f>
        <v>#N/A</v>
      </c>
      <c r="DB27" s="115" t="str">
        <f>IF(AND(NOT(CZ27=0),OR(K27="QD43",K27="QD43q",K27="QD51",K27="QD51q")),INDEX(TW!$C$156:$F$164,MATCH(V27,TW!$B$156:$B$164,0),MATCH(K27,TW!$C$155:$F$155,0)),IF(AND(ISNUMBER($CX27),ISNUMBER($DA27)),$CX27*$DA27,"-"))</f>
        <v>-</v>
      </c>
      <c r="DC27" s="236" t="str">
        <f t="shared" si="29"/>
        <v>leer</v>
      </c>
      <c r="DD27" s="236" t="str">
        <f t="shared" si="4"/>
        <v>leer</v>
      </c>
      <c r="DE27" s="236" t="e">
        <f>VLOOKUP($DD27,TW!$B$4:$H$9,TW!$H$4,FALSE)</f>
        <v>#N/A</v>
      </c>
      <c r="DF27" s="237">
        <f t="shared" si="30"/>
        <v>0</v>
      </c>
      <c r="DG27" s="82">
        <f t="shared" si="31"/>
        <v>1</v>
      </c>
      <c r="DH27" s="82" t="e">
        <f>VLOOKUP($DD27,TW!$B$4:$H$9,TW!$G$4,FALSE)</f>
        <v>#N/A</v>
      </c>
      <c r="DI27" s="236" t="str">
        <f>IF($AF27="","leer",IF($AF27=60,VLOOKUP($DD27,TW!$B$4:$H$9,TW!$C$4,FALSE),IF($AF27=80,VLOOKUP($DD27,TW!$B$4:$H$9,TW!$D$4,FALSE),IF($AF27=100,VLOOKUP($DD27,TW!$B$4:$H$9,TW!$E$4,FALSE),IF($AF27=120,VLOOKUP($DD27,TW!$B$4:$H$9,TW!$F$4,FALSE),"")))))</f>
        <v>leer</v>
      </c>
      <c r="DJ27" s="82" t="str">
        <f t="shared" si="32"/>
        <v>leer</v>
      </c>
      <c r="DK27" s="82" t="e">
        <f>IF(H27="KP-TypH",INDEX(TW!$C$168:$D$176,MATCH(V27,TW!$B$168:$B$176,0),MATCH(CJ27-0,TW!$C$167:$D$167,0)),IF(H27="KP-TypJ",INDEX(TW!$G$168:$H$176,MATCH(V27,TW!$F$168:$F$176,0),MATCH(CJ27-0,TW!$G$167:$H$167,0)),$DJ27*$DC27))</f>
        <v>#VALUE!</v>
      </c>
      <c r="DL27" s="77" t="str">
        <f>IF(AND(NOT(CZ27=0),OR(K27="QD43",K27="QD43q",K27="QD51",K27="QD51q")),INDEX(TW!$I$156:$L$164,MATCH(V27,TW!$H$156:$H$164,0),MATCH(K27,TW!$I$155:$L$155,0)),IF(OR(AND($H27="KP-TypG",$K27="02")),100,IF(OR($AU27="x",AND($H27="KP-TypG",$K27="01")),50,"-")))</f>
        <v>-</v>
      </c>
      <c r="DN27" s="171">
        <f t="shared" si="33"/>
        <v>0</v>
      </c>
      <c r="DO27" s="238">
        <f>IF(ISBLANK($AD27),0,INDEX(BP!$B$3:$C$8,MATCH($AD27,BP!$B$3:$B$8,0),2))</f>
        <v>0</v>
      </c>
      <c r="DP27" s="170">
        <f t="shared" si="34"/>
        <v>0</v>
      </c>
      <c r="DQ27" s="163">
        <f t="shared" si="35"/>
        <v>0</v>
      </c>
      <c r="DR27" s="163">
        <f t="shared" si="36"/>
        <v>0</v>
      </c>
      <c r="DS27" s="169">
        <f>INDEX(BP!$B$3:$C$8,6,2)</f>
        <v>0.17499999999999999</v>
      </c>
      <c r="DT27" s="162">
        <f t="shared" si="37"/>
        <v>0</v>
      </c>
      <c r="DU27" s="163">
        <f t="shared" si="38"/>
        <v>0</v>
      </c>
      <c r="DV27" s="170">
        <f t="shared" si="39"/>
        <v>0</v>
      </c>
      <c r="DW27" s="170" t="e">
        <f>INDEX(BP!$B$12:$F$29,MATCH($H27,BP!$B$12:$B$29,0),3)</f>
        <v>#N/A</v>
      </c>
      <c r="DX27" s="170" t="e">
        <f>INDEX(BP!$B$12:$F$29,MATCH($H27,BP!$B$12:$B$29,0),4)</f>
        <v>#N/A</v>
      </c>
      <c r="DY27" s="169" t="e">
        <f t="shared" si="40"/>
        <v>#N/A</v>
      </c>
      <c r="DZ27" s="169" t="e">
        <f t="shared" si="41"/>
        <v>#N/A</v>
      </c>
      <c r="EA27" s="169" t="e">
        <f t="shared" si="42"/>
        <v>#N/A</v>
      </c>
      <c r="EB27" s="169" t="str">
        <f t="shared" si="43"/>
        <v>-</v>
      </c>
      <c r="EC27" s="169" t="e">
        <f t="shared" si="44"/>
        <v>#VALUE!</v>
      </c>
      <c r="ED27" s="169">
        <f>IF(OR(K27="QD43",K27="QD43q"),BP!$C$92,IF(OR(K27="QD51",K27="QD51q"),BP!$C$94,15))</f>
        <v>15</v>
      </c>
      <c r="EE27" s="163">
        <f>IF(OR(K27="QD43",K27="QD43q"),BP!$D$92,IF(OR(K27="QD51",K27="QD51q"),BP!$D$94,IF($DV27=0,0,IF($DW27="SP",$EA27*$DV27,$DV27*$EC27))))</f>
        <v>0</v>
      </c>
      <c r="EF27" s="163">
        <f t="shared" si="45"/>
        <v>0</v>
      </c>
      <c r="EG27" s="169">
        <f t="shared" si="46"/>
        <v>0</v>
      </c>
      <c r="EH27" s="170">
        <f t="shared" si="47"/>
        <v>1100</v>
      </c>
      <c r="EI27" s="169">
        <v>15</v>
      </c>
      <c r="EJ27" s="162">
        <f t="shared" si="48"/>
        <v>0</v>
      </c>
      <c r="EK27" s="162">
        <f t="shared" si="49"/>
        <v>0</v>
      </c>
      <c r="EL27" s="169" t="b">
        <f t="shared" si="50"/>
        <v>0</v>
      </c>
      <c r="EM27" s="239" t="b">
        <f t="shared" si="51"/>
        <v>0</v>
      </c>
      <c r="EN27" s="169">
        <f t="shared" si="52"/>
        <v>0</v>
      </c>
      <c r="EO27" s="169" t="e">
        <f>INDEX(BP!$B$12:$F$29,MATCH($H27,BP!$B$12:$B$29,0),5)</f>
        <v>#N/A</v>
      </c>
      <c r="EP27" s="162">
        <f t="shared" si="53"/>
        <v>0</v>
      </c>
      <c r="EQ27" s="162" t="e">
        <f t="shared" si="54"/>
        <v>#N/A</v>
      </c>
      <c r="ER27" s="169" t="e">
        <f>INDEX(BP!$B$12:$F$29,MATCH($H27,BP!$B$12:$B$29,0),2)</f>
        <v>#N/A</v>
      </c>
      <c r="ES27" s="169" t="str">
        <f>IF(OR($H27="KP-1",$H27="KPE-1",$H27="KP-11"),INDEX(BP!$B$32:$F$41,MATCH($V27,BP!$B$32:$B$41,0),MATCH($AF27,BP!$B$32:$F$32,0)),IF(OR($H27="KP-3",$H27="KPE-3"),INDEX(BP!$B$44:$F$53,MATCH($V27,BP!$B$44:$B$53,0),MATCH($AF27,BP!$B$44:$F$44,0)),"DS"))</f>
        <v>DS</v>
      </c>
      <c r="ET27" s="169" t="b">
        <f t="shared" si="55"/>
        <v>0</v>
      </c>
      <c r="EU27" s="169" t="e">
        <f>INDEX(BP!$B$64:$D$66,MATCH($EM27,BP!$B$64:$B$66,0),2)</f>
        <v>#N/A</v>
      </c>
      <c r="EV27" s="169" t="e">
        <f>IF($H27="KP-11",INDEX(BP!$B$64:$D$74,MATCH($K27,BP!$B$64:$B$74,0),3),$ET27*$EU27)</f>
        <v>#N/A</v>
      </c>
      <c r="EW27" s="169" t="e">
        <f>INDEX(BP!$B$57:$D$60,MATCH($ES27,BP!$B$57:$B$60,0),3)</f>
        <v>#N/A</v>
      </c>
      <c r="EX27" s="169" t="e">
        <f>INDEX(BP!$B$57:$D$60,MATCH($ES27,BP!$B$57:$B$60,0),2)</f>
        <v>#N/A</v>
      </c>
      <c r="EY27" s="163" t="e">
        <f t="shared" si="56"/>
        <v>#N/A</v>
      </c>
      <c r="EZ27" s="163" t="e">
        <f t="shared" si="57"/>
        <v>#N/A</v>
      </c>
      <c r="FA27" s="158" t="b">
        <f t="shared" si="58"/>
        <v>0</v>
      </c>
      <c r="FB27" s="158">
        <f t="shared" si="59"/>
        <v>0</v>
      </c>
      <c r="FC27" s="159">
        <f t="shared" si="60"/>
        <v>0</v>
      </c>
      <c r="FE27" s="240">
        <f t="shared" si="61"/>
        <v>0</v>
      </c>
      <c r="FF27" s="240">
        <f t="shared" si="62"/>
        <v>0</v>
      </c>
      <c r="FG27" s="198" t="str">
        <f t="shared" si="63"/>
        <v>-</v>
      </c>
      <c r="FH27" s="198" t="str">
        <f t="shared" si="64"/>
        <v>-</v>
      </c>
      <c r="FI27" s="198" t="b">
        <f t="shared" si="65"/>
        <v>0</v>
      </c>
      <c r="FJ27" s="198" t="str">
        <f t="shared" si="66"/>
        <v>DS</v>
      </c>
      <c r="FK27" s="198" t="b">
        <f t="shared" si="67"/>
        <v>0</v>
      </c>
      <c r="FL27" s="198" t="str">
        <f t="shared" si="68"/>
        <v>-</v>
      </c>
      <c r="FM27" s="241" t="e">
        <f t="shared" si="69"/>
        <v>#VALUE!</v>
      </c>
      <c r="FN27" s="198">
        <f t="shared" si="70"/>
        <v>170000</v>
      </c>
      <c r="FO27" s="198" t="b">
        <f t="shared" si="71"/>
        <v>0</v>
      </c>
      <c r="FP27" s="198" t="str">
        <f t="shared" si="72"/>
        <v>-</v>
      </c>
      <c r="FQ27" s="198" t="str">
        <f t="shared" si="73"/>
        <v>-</v>
      </c>
      <c r="FR27" s="198">
        <f t="shared" si="74"/>
        <v>0</v>
      </c>
      <c r="FS27" s="198">
        <f t="shared" si="75"/>
        <v>0</v>
      </c>
      <c r="FT27" s="198">
        <f t="shared" si="76"/>
        <v>565.21739130434787</v>
      </c>
      <c r="FU27" s="242" t="e">
        <f>IF($FJ27="DS",INDEX(BP!$B$77:$F$87,MATCH($FI27,BP!$B$77:$B$87,0),MATCH($FF27,BP!$B$77:$F$77,0)),INDEX(BP!$B$77:$F$87,MATCH($FJ27,BP!$B$77:$B$87,0),MATCH($FF27,BP!$B$77:$F$77,0)))</f>
        <v>#N/A</v>
      </c>
      <c r="FV27" s="198" t="e">
        <f t="shared" si="77"/>
        <v>#N/A</v>
      </c>
      <c r="FW27" s="198">
        <f t="shared" si="78"/>
        <v>170000</v>
      </c>
      <c r="FX27" s="198">
        <v>20</v>
      </c>
      <c r="FY27" s="198">
        <v>35000</v>
      </c>
      <c r="FZ27" s="198">
        <v>1</v>
      </c>
      <c r="GA27" s="198" t="e">
        <f t="shared" si="79"/>
        <v>#VALUE!</v>
      </c>
      <c r="GB27" s="198" t="e">
        <f t="shared" si="80"/>
        <v>#VALUE!</v>
      </c>
      <c r="GC27" s="198" t="e">
        <f t="shared" si="81"/>
        <v>#VALUE!</v>
      </c>
      <c r="GD27" s="240">
        <f t="shared" si="82"/>
        <v>0</v>
      </c>
      <c r="GE27" s="242" t="e">
        <f t="shared" si="83"/>
        <v>#VALUE!</v>
      </c>
      <c r="GF27" s="242" t="e">
        <f t="shared" si="84"/>
        <v>#VALUE!</v>
      </c>
      <c r="GG27" s="242" t="e">
        <f t="shared" si="85"/>
        <v>#VALUE!</v>
      </c>
      <c r="GH27" s="243" t="e">
        <f t="shared" si="86"/>
        <v>#VALUE!</v>
      </c>
      <c r="GI27" s="243" t="e">
        <f t="shared" si="87"/>
        <v>#VALUE!</v>
      </c>
      <c r="GJ27" s="243" t="e">
        <f t="shared" si="88"/>
        <v>#VALUE!</v>
      </c>
      <c r="GK27" s="240">
        <f t="shared" si="89"/>
        <v>0</v>
      </c>
      <c r="GL27" s="198">
        <f t="shared" si="90"/>
        <v>0</v>
      </c>
      <c r="GM27" s="198">
        <f t="shared" si="91"/>
        <v>0</v>
      </c>
      <c r="GN27" s="240" t="e">
        <f t="shared" si="92"/>
        <v>#VALUE!</v>
      </c>
      <c r="GO27" s="243" t="e">
        <f t="shared" si="93"/>
        <v>#VALUE!</v>
      </c>
      <c r="GP27" s="198" t="e">
        <f t="shared" si="94"/>
        <v>#VALUE!</v>
      </c>
      <c r="GQ27" s="244" t="e">
        <f t="shared" si="95"/>
        <v>#VALUE!</v>
      </c>
      <c r="GR27" s="199" t="e">
        <f t="shared" si="96"/>
        <v>#N/A</v>
      </c>
      <c r="GS27" s="198" t="e">
        <f t="shared" si="97"/>
        <v>#N/A</v>
      </c>
      <c r="GT27" s="198" t="e">
        <f t="shared" si="98"/>
        <v>#N/A</v>
      </c>
      <c r="GU27" s="198" t="e">
        <f t="shared" si="99"/>
        <v>#N/A</v>
      </c>
      <c r="GV27" s="245">
        <f t="shared" si="100"/>
        <v>0</v>
      </c>
      <c r="GW27" s="198">
        <v>170000</v>
      </c>
      <c r="GX27" s="198">
        <v>8</v>
      </c>
      <c r="GY27" s="198">
        <f t="shared" si="101"/>
        <v>50.26548245743669</v>
      </c>
      <c r="GZ27" s="198" t="e">
        <f t="shared" si="102"/>
        <v>#N/A</v>
      </c>
      <c r="HA27" s="198">
        <v>1</v>
      </c>
      <c r="HB27" s="198" t="e">
        <f t="shared" si="103"/>
        <v>#N/A</v>
      </c>
      <c r="HC27" s="198" t="e">
        <f t="shared" si="104"/>
        <v>#N/A</v>
      </c>
      <c r="HD27" s="198" t="e">
        <f t="shared" si="105"/>
        <v>#N/A</v>
      </c>
      <c r="HE27" s="198">
        <f t="shared" si="106"/>
        <v>120</v>
      </c>
      <c r="HF27" s="198">
        <f t="shared" si="106"/>
        <v>120</v>
      </c>
      <c r="HG27" s="198">
        <v>100</v>
      </c>
      <c r="HH27" s="198" t="e">
        <f t="shared" si="107"/>
        <v>#N/A</v>
      </c>
      <c r="HI27" s="198" t="e">
        <f t="shared" si="108"/>
        <v>#N/A</v>
      </c>
      <c r="HJ27" s="198" t="e">
        <f t="shared" si="109"/>
        <v>#N/A</v>
      </c>
      <c r="HK27" s="198" t="e">
        <f t="shared" si="110"/>
        <v>#N/A</v>
      </c>
      <c r="HL27" s="198" t="e">
        <f t="shared" si="111"/>
        <v>#N/A</v>
      </c>
      <c r="HM27" s="198" t="e">
        <f t="shared" si="112"/>
        <v>#N/A</v>
      </c>
      <c r="HN27" s="241" t="e">
        <f>IF(H27="KP-TypJ",INDEX(TW!$O$168:$P$176,MATCH(V27,TW!$N$168:$N$176,0),MATCH(CJ27-0,TW!$O$167:$P$167,0)),IF(OR($H27="KP-11",$H27="KP-12"),$GQ27,$HM27+$GQ27))</f>
        <v>#N/A</v>
      </c>
    </row>
    <row r="28" spans="1:222" x14ac:dyDescent="0.25">
      <c r="A28" s="349"/>
      <c r="B28" s="350"/>
      <c r="C28" s="417"/>
      <c r="D28" s="350"/>
      <c r="E28" s="349"/>
      <c r="F28" s="350"/>
      <c r="G28" s="17"/>
      <c r="H28" s="420"/>
      <c r="I28" s="421"/>
      <c r="J28" s="421"/>
      <c r="K28" s="418"/>
      <c r="L28" s="418"/>
      <c r="M28" s="419"/>
      <c r="N28" s="10"/>
      <c r="O28" s="289"/>
      <c r="P28" s="290"/>
      <c r="Q28" s="13" t="s">
        <v>7</v>
      </c>
      <c r="R28" s="412"/>
      <c r="S28" s="413"/>
      <c r="T28" s="414"/>
      <c r="U28" s="415"/>
      <c r="V28" s="289"/>
      <c r="W28" s="290"/>
      <c r="X28" s="393" t="str">
        <f t="shared" si="7"/>
        <v/>
      </c>
      <c r="Y28" s="394"/>
      <c r="Z28" s="369"/>
      <c r="AA28" s="370"/>
      <c r="AB28" s="397"/>
      <c r="AC28" s="398"/>
      <c r="AD28" s="383"/>
      <c r="AE28" s="384"/>
      <c r="AF28" s="395"/>
      <c r="AG28" s="396"/>
      <c r="AH28" s="230"/>
      <c r="AI28" s="69" t="str">
        <f t="shared" si="8"/>
        <v/>
      </c>
      <c r="AJ28" s="18"/>
      <c r="AK28" s="349"/>
      <c r="AL28" s="350"/>
      <c r="AM28" s="349"/>
      <c r="AN28" s="350"/>
      <c r="AO28" s="318" t="str">
        <f>IF(AND(OR(H28="KP-8",H28="KP-10"),V28&gt;0),VLOOKUP(V28,'.'!$AO$32:$AQ$40,2,FALSE),"")</f>
        <v/>
      </c>
      <c r="AP28" s="319"/>
      <c r="AQ28" s="316" t="str">
        <f>IF(AND(OR(H28="KP-8",H28="KP-10"),V28&gt;0),VLOOKUP(V28,'.'!$AO$32:$AQ$40,3,FALSE),"")</f>
        <v/>
      </c>
      <c r="AR28" s="317"/>
      <c r="AS28" s="339" t="str">
        <f t="shared" si="9"/>
        <v/>
      </c>
      <c r="AT28" s="340"/>
      <c r="AU28" s="314"/>
      <c r="AV28" s="315"/>
      <c r="AW28" s="314"/>
      <c r="AX28" s="315"/>
      <c r="AY28" s="12"/>
      <c r="AZ28" s="291"/>
      <c r="BA28" s="292"/>
      <c r="BB28" s="292"/>
      <c r="BC28" s="293"/>
      <c r="BD28" s="5"/>
      <c r="BE28" s="5"/>
      <c r="BF28" s="128" t="str">
        <f t="shared" si="10"/>
        <v>-</v>
      </c>
      <c r="BG28" s="129" t="str">
        <f t="shared" si="11"/>
        <v>-</v>
      </c>
      <c r="BH28" s="130" t="str">
        <f t="shared" si="12"/>
        <v>-</v>
      </c>
      <c r="BI28" s="130" t="str">
        <f t="shared" si="13"/>
        <v>-</v>
      </c>
      <c r="BJ28" s="136"/>
      <c r="BK28" s="177" t="str">
        <f t="shared" si="14"/>
        <v>-</v>
      </c>
      <c r="BL28" s="136"/>
      <c r="BM28" s="143" t="str">
        <f t="shared" si="15"/>
        <v>-</v>
      </c>
      <c r="BN28" s="143" t="str">
        <f t="shared" si="16"/>
        <v>-</v>
      </c>
      <c r="BQ28" s="225" t="str">
        <f>IF($H28="","leer",VLOOKUP($H28,'.'!$AO$7:$AY$28,2,FALSE))</f>
        <v>leer</v>
      </c>
      <c r="BR28" s="225" t="str">
        <f>IF($H28="","leer",VLOOKUP($H28,'.'!$AO$7:$AY$28,3,FALSE))</f>
        <v>leer</v>
      </c>
      <c r="BS28" s="225" t="str">
        <f>IF($H28="","Dleer.",IF(OR(K28="QD43",K28="QD43q"),"TypQD43D.",IF(OR(K28="QD51",K28="QD51q"),"TypQD51D.",IF(AND($H28='.'!$AO$22,$K28="02"),"TypG02D.",VLOOKUP($H28,'.'!$AO$7:$AY$28,4,FALSE)))))</f>
        <v>Dleer.</v>
      </c>
      <c r="BT28" s="225" t="str">
        <f>IF($H28="","ITleer.",VLOOKUP($H28,'.'!$AO$7:$AY$28,5,FALSE))</f>
        <v>ITleer.</v>
      </c>
      <c r="BU28" s="225" t="str">
        <f>IF($AD28="(PUR)","TypPURIS.",IF($H28="","ISleer.",VLOOKUP($H28,'.'!$AO$7:$AY$28,6,FALSE)))</f>
        <v>ISleer.</v>
      </c>
      <c r="BV28" s="225" t="str">
        <f>IF($H28="","Fleer.",VLOOKUP($H28,'.'!$AO$7:$AY$28,7,FALSE))</f>
        <v>Fleer.</v>
      </c>
      <c r="BW28" s="225" t="str">
        <f>IF($H28="","leer",IF(AH28&lt;T28*100+220,"leer",VLOOKUP($H28,'.'!$AO$7:$AY$28,8,FALSE)))</f>
        <v>leer</v>
      </c>
      <c r="BX28" s="225" t="str">
        <f>IF($H28="","leer",VLOOKUP($H28,'.'!$AO$7:$AY$28,9,FALSE))</f>
        <v>leer</v>
      </c>
      <c r="BY28" s="225" t="str">
        <f>IF($H28="","leer",VLOOKUP($H28,'.'!$AO$7:$AY$28,10,FALSE))</f>
        <v>leer</v>
      </c>
      <c r="BZ28" s="226" t="e">
        <f>INDEX('.'!$AP$43:$BA$53,MATCH(H28,'.'!$AO$43:$AO$53,0),MATCH(K28,'.'!$AP$42:$BA$42,0))</f>
        <v>#N/A</v>
      </c>
      <c r="CA28" s="225" t="str">
        <f>IF($H28="","leer",VLOOKUP($H28,'.'!$AO$7:$AY$28,11,FALSE))</f>
        <v>leer</v>
      </c>
      <c r="CB28" s="225" t="e">
        <f>INDEX('.'!$AP$56:$BA$66,MATCH(H28,'.'!$AO$56:$AO$66,0),MATCH(K28,'.'!$AP$55:$BA$55,0))</f>
        <v>#N/A</v>
      </c>
      <c r="CC28" s="225" t="str">
        <f>IF(OR($H28="",$H28="KP-TypB",$H28="KP-TypC",$H28="KP-TypD",$H28="KP-TypH",$H28="KP-TypJ",$H28="KP-TypK"),"leer",IF(OR($H28="KP-1",$H28="KPE-1",$H28="KP-3",$H28="KPE-3",$H28="KP-11",$H28="KP-12",$H28="KP-TypG"),VLOOKUP(O28,'.'!$BA$7:$BB$15,2,FALSE),IF(OR($H28="KP-2",$H28="KP-7"),VLOOKUP(O28,'.'!$BD$7:$BE$15,2,FALSE),"n0.")))</f>
        <v>leer</v>
      </c>
      <c r="CD28" s="227" t="e">
        <f>INDEX('.'!$AP$69:$BA$79,MATCH(H28,'.'!$AO$69:$AO$79,0),MATCH(K28,'.'!$AP$68:$BA$68,0))</f>
        <v>#N/A</v>
      </c>
      <c r="CF28" s="117" t="e">
        <f>VLOOKUP($H28,TW!$L$54:$M$72,TW!$M$54,FALSE)</f>
        <v>#N/A</v>
      </c>
      <c r="CG28" s="117">
        <f t="shared" si="17"/>
        <v>0</v>
      </c>
      <c r="CH28" s="118">
        <f t="shared" si="18"/>
        <v>0</v>
      </c>
      <c r="CI28" s="118">
        <f t="shared" si="1"/>
        <v>0</v>
      </c>
      <c r="CJ28" s="117">
        <f t="shared" si="19"/>
        <v>0</v>
      </c>
      <c r="CK28" s="117" t="str">
        <f t="shared" si="20"/>
        <v>ø0-0</v>
      </c>
      <c r="CL28" s="122" t="b">
        <f>IF($H28="KP-1",INDEX(TW!$B$54:$J$63,MATCH($CI28,TW!$B$54:$B$63,0),MATCH($CK28,TW!$B$54:$J$54,0)),IF($H28="KPE-1",INDEX(TW!$B$66:$J$74,MATCH($CI28,TW!$B$66:$B$74,0),MATCH($CK28,TW!$B$66:$J$66,0)),IF($H28="KP-3",INDEX(TW!$B$77:$J$86,MATCH($CI28,TW!$B$77:$B$86,0),MATCH($CK28,TW!$B$77:$J$77,0)),IF($H28="KPE-3",INDEX(TW!$B$89:$J$97,MATCH($CI28,TW!$B$89:$B$97,0),MATCH($CK28,TW!$B$89:$J$89,0)),IF(OR($H28="KP-2",$H28="KP-7"),INDEX(TW!$B$100:$V$109,MATCH($CI28,TW!$B$100:$B$109,0),MATCH($CK28,TW!$B$100:$V$100,0)),IF($H28="KP-10",INDEX(TW!$B$121:$F$130,MATCH($CI28,TW!$B$121:$B$130,0),MATCH($CJ28,TW!$B$121:$F$121,0)),IF($H28="KP-11",INDEX(TW!$B$133:$J$141,MATCH($CI28,TW!$B$133:$B$141,0),MATCH($CK28,TW!$B$133:$J$133,0)),IF($H28="KP-12",INDEX(TW!$B$144:$J$152,MATCH($CI28,TW!$B$144:$B$152,0),MATCH($CK28,TW!$B$144:$J$144,0))))))))))</f>
        <v>0</v>
      </c>
      <c r="CM28" s="117" t="e">
        <f>VLOOKUP($CH28,TW!$B$112:$C$118,TW!$C$113,FALSE)</f>
        <v>#N/A</v>
      </c>
      <c r="CN28" s="235">
        <f t="shared" si="21"/>
        <v>0</v>
      </c>
      <c r="CO28" s="122">
        <f t="shared" si="22"/>
        <v>1</v>
      </c>
      <c r="CP28" s="122" t="e">
        <f>$CL28*(VLOOKUP($CH28,TW!$B$112:$D$118,TW!$D$113,FALSE)/INDEX(TW!$F$112:$J$117,MATCH($CH28,TW!$F$112:$F$117,0),MATCH($CJ28,TW!$F$112:$J$112,0)))</f>
        <v>#N/A</v>
      </c>
      <c r="CQ28" s="122" t="b">
        <f t="shared" si="23"/>
        <v>0</v>
      </c>
      <c r="CR28" s="122" t="str">
        <f t="shared" si="24"/>
        <v>leer</v>
      </c>
      <c r="CS28" s="122">
        <f>IF(H28="KP-12",INDEX(TW!$H$42:$L$50,MATCH($CY28,TW!$B$42:$B$50,0),MATCH($CZ28,TW!$B$42:$F$42,0)),0)</f>
        <v>0</v>
      </c>
      <c r="CT28" s="122">
        <f t="shared" si="25"/>
        <v>-60</v>
      </c>
      <c r="CU28" s="122">
        <f t="shared" si="26"/>
        <v>0</v>
      </c>
      <c r="CV28" s="122" t="str">
        <f>IF(H28="KP-TypJ",INDEX(TW!$K$168:$L$176,MATCH(V28,TW!$H$156:$H$164,0),MATCH(AF28-0,TW!$K$167:$L$167,0)),IF($H28="KP-7",$CG28*$CR28,IF(OR($H28="KP-9",$H28="KPE-9"),999,IF(ISNUMBER($CL28),$CL28*$CG28-$CU28,"-"))))</f>
        <v>-</v>
      </c>
      <c r="CW28" s="101" t="e">
        <f>VLOOKUP($H28,TW!$H$13:$I$30,TW!$I$13,FALSE)</f>
        <v>#N/A</v>
      </c>
      <c r="CX28" s="102" t="str">
        <f t="shared" si="27"/>
        <v>leer</v>
      </c>
      <c r="CY28" s="102">
        <f t="shared" si="28"/>
        <v>-60</v>
      </c>
      <c r="CZ28" s="102">
        <f t="shared" si="2"/>
        <v>0</v>
      </c>
      <c r="DA28" s="115" t="e">
        <f>IF($H28="KP-6",INDEX(TW!$B$25:$F$27,MATCH($CY28,TW!$B$25:$B$27,0),MATCH($CZ28,TW!$B$25:$F$25,0)),IF(OR($H28="KP-8",$H28="KP-10"),INDEX(TW!$B$30:$F$39,MATCH($CY28,TW!$B$30:$B$39,0),MATCH($CZ28,TW!$B$30:$F$30,0)),IF(OR($H28="KP-11",$H28="KP-12"),INDEX(TW!$B$42:$F$50,MATCH($CY28,TW!$B$42:$B$50,0),MATCH($CZ28,TW!$B$42:$F$42,0)),INDEX(TW!$B$13:$F$22,MATCH($CY28,TW!$B$13:$B$22,0),MATCH($CZ28,TW!$B$13:$F$13,0)))))</f>
        <v>#N/A</v>
      </c>
      <c r="DB28" s="115" t="str">
        <f>IF(AND(NOT(CZ28=0),OR(K28="QD43",K28="QD43q",K28="QD51",K28="QD51q")),INDEX(TW!$C$156:$F$164,MATCH(V28,TW!$B$156:$B$164,0),MATCH(K28,TW!$C$155:$F$155,0)),IF(AND(ISNUMBER($CX28),ISNUMBER($DA28)),$CX28*$DA28,"-"))</f>
        <v>-</v>
      </c>
      <c r="DC28" s="236" t="str">
        <f t="shared" si="29"/>
        <v>leer</v>
      </c>
      <c r="DD28" s="236" t="str">
        <f t="shared" si="4"/>
        <v>leer</v>
      </c>
      <c r="DE28" s="236" t="e">
        <f>VLOOKUP($DD28,TW!$B$4:$H$9,TW!$H$4,FALSE)</f>
        <v>#N/A</v>
      </c>
      <c r="DF28" s="237">
        <f t="shared" si="30"/>
        <v>0</v>
      </c>
      <c r="DG28" s="82">
        <f t="shared" si="31"/>
        <v>1</v>
      </c>
      <c r="DH28" s="82" t="e">
        <f>VLOOKUP($DD28,TW!$B$4:$H$9,TW!$G$4,FALSE)</f>
        <v>#N/A</v>
      </c>
      <c r="DI28" s="236" t="str">
        <f>IF($AF28="","leer",IF($AF28=60,VLOOKUP($DD28,TW!$B$4:$H$9,TW!$C$4,FALSE),IF($AF28=80,VLOOKUP($DD28,TW!$B$4:$H$9,TW!$D$4,FALSE),IF($AF28=100,VLOOKUP($DD28,TW!$B$4:$H$9,TW!$E$4,FALSE),IF($AF28=120,VLOOKUP($DD28,TW!$B$4:$H$9,TW!$F$4,FALSE),"")))))</f>
        <v>leer</v>
      </c>
      <c r="DJ28" s="82" t="str">
        <f t="shared" si="32"/>
        <v>leer</v>
      </c>
      <c r="DK28" s="82" t="e">
        <f>IF(H28="KP-TypH",INDEX(TW!$C$168:$D$176,MATCH(V28,TW!$B$168:$B$176,0),MATCH(CJ28-0,TW!$C$167:$D$167,0)),IF(H28="KP-TypJ",INDEX(TW!$G$168:$H$176,MATCH(V28,TW!$F$168:$F$176,0),MATCH(CJ28-0,TW!$G$167:$H$167,0)),$DJ28*$DC28))</f>
        <v>#VALUE!</v>
      </c>
      <c r="DL28" s="77" t="str">
        <f>IF(AND(NOT(CZ28=0),OR(K28="QD43",K28="QD43q",K28="QD51",K28="QD51q")),INDEX(TW!$I$156:$L$164,MATCH(V28,TW!$H$156:$H$164,0),MATCH(K28,TW!$I$155:$L$155,0)),IF(OR(AND($H28="KP-TypG",$K28="02")),100,IF(OR($AU28="x",AND($H28="KP-TypG",$K28="01")),50,"-")))</f>
        <v>-</v>
      </c>
      <c r="DN28" s="171">
        <f t="shared" si="33"/>
        <v>0</v>
      </c>
      <c r="DO28" s="238">
        <f>IF(ISBLANK($AD28),0,INDEX(BP!$B$3:$C$8,MATCH($AD28,BP!$B$3:$B$8,0),2))</f>
        <v>0</v>
      </c>
      <c r="DP28" s="170">
        <f t="shared" si="34"/>
        <v>0</v>
      </c>
      <c r="DQ28" s="163">
        <f t="shared" si="35"/>
        <v>0</v>
      </c>
      <c r="DR28" s="163">
        <f t="shared" si="36"/>
        <v>0</v>
      </c>
      <c r="DS28" s="169">
        <f>INDEX(BP!$B$3:$C$8,6,2)</f>
        <v>0.17499999999999999</v>
      </c>
      <c r="DT28" s="162">
        <f t="shared" si="37"/>
        <v>0</v>
      </c>
      <c r="DU28" s="163">
        <f t="shared" si="38"/>
        <v>0</v>
      </c>
      <c r="DV28" s="170">
        <f t="shared" si="39"/>
        <v>0</v>
      </c>
      <c r="DW28" s="170" t="e">
        <f>INDEX(BP!$B$12:$F$29,MATCH($H28,BP!$B$12:$B$29,0),3)</f>
        <v>#N/A</v>
      </c>
      <c r="DX28" s="170" t="e">
        <f>INDEX(BP!$B$12:$F$29,MATCH($H28,BP!$B$12:$B$29,0),4)</f>
        <v>#N/A</v>
      </c>
      <c r="DY28" s="169" t="e">
        <f t="shared" si="40"/>
        <v>#N/A</v>
      </c>
      <c r="DZ28" s="169" t="e">
        <f t="shared" si="41"/>
        <v>#N/A</v>
      </c>
      <c r="EA28" s="169" t="e">
        <f t="shared" si="42"/>
        <v>#N/A</v>
      </c>
      <c r="EB28" s="169" t="str">
        <f t="shared" si="43"/>
        <v>-</v>
      </c>
      <c r="EC28" s="169" t="e">
        <f t="shared" si="44"/>
        <v>#VALUE!</v>
      </c>
      <c r="ED28" s="169">
        <f>IF(OR(K28="QD43",K28="QD43q"),BP!$C$92,IF(OR(K28="QD51",K28="QD51q"),BP!$C$94,15))</f>
        <v>15</v>
      </c>
      <c r="EE28" s="163">
        <f>IF(OR(K28="QD43",K28="QD43q"),BP!$D$92,IF(OR(K28="QD51",K28="QD51q"),BP!$D$94,IF($DV28=0,0,IF($DW28="SP",$EA28*$DV28,$DV28*$EC28))))</f>
        <v>0</v>
      </c>
      <c r="EF28" s="163">
        <f t="shared" si="45"/>
        <v>0</v>
      </c>
      <c r="EG28" s="169">
        <f t="shared" si="46"/>
        <v>0</v>
      </c>
      <c r="EH28" s="170">
        <f t="shared" si="47"/>
        <v>1100</v>
      </c>
      <c r="EI28" s="169">
        <v>15</v>
      </c>
      <c r="EJ28" s="162">
        <f t="shared" si="48"/>
        <v>0</v>
      </c>
      <c r="EK28" s="162">
        <f t="shared" si="49"/>
        <v>0</v>
      </c>
      <c r="EL28" s="169" t="b">
        <f t="shared" si="50"/>
        <v>0</v>
      </c>
      <c r="EM28" s="239" t="b">
        <f t="shared" si="51"/>
        <v>0</v>
      </c>
      <c r="EN28" s="169">
        <f t="shared" si="52"/>
        <v>0</v>
      </c>
      <c r="EO28" s="169" t="e">
        <f>INDEX(BP!$B$12:$F$29,MATCH($H28,BP!$B$12:$B$29,0),5)</f>
        <v>#N/A</v>
      </c>
      <c r="EP28" s="162">
        <f t="shared" si="53"/>
        <v>0</v>
      </c>
      <c r="EQ28" s="162" t="e">
        <f t="shared" si="54"/>
        <v>#N/A</v>
      </c>
      <c r="ER28" s="169" t="e">
        <f>INDEX(BP!$B$12:$F$29,MATCH($H28,BP!$B$12:$B$29,0),2)</f>
        <v>#N/A</v>
      </c>
      <c r="ES28" s="169" t="str">
        <f>IF(OR($H28="KP-1",$H28="KPE-1",$H28="KP-11"),INDEX(BP!$B$32:$F$41,MATCH($V28,BP!$B$32:$B$41,0),MATCH($AF28,BP!$B$32:$F$32,0)),IF(OR($H28="KP-3",$H28="KPE-3"),INDEX(BP!$B$44:$F$53,MATCH($V28,BP!$B$44:$B$53,0),MATCH($AF28,BP!$B$44:$F$44,0)),"DS"))</f>
        <v>DS</v>
      </c>
      <c r="ET28" s="169" t="b">
        <f t="shared" si="55"/>
        <v>0</v>
      </c>
      <c r="EU28" s="169" t="e">
        <f>INDEX(BP!$B$64:$D$66,MATCH($EM28,BP!$B$64:$B$66,0),2)</f>
        <v>#N/A</v>
      </c>
      <c r="EV28" s="169" t="e">
        <f>IF($H28="KP-11",INDEX(BP!$B$64:$D$74,MATCH($K28,BP!$B$64:$B$74,0),3),$ET28*$EU28)</f>
        <v>#N/A</v>
      </c>
      <c r="EW28" s="169" t="e">
        <f>INDEX(BP!$B$57:$D$60,MATCH($ES28,BP!$B$57:$B$60,0),3)</f>
        <v>#N/A</v>
      </c>
      <c r="EX28" s="169" t="e">
        <f>INDEX(BP!$B$57:$D$60,MATCH($ES28,BP!$B$57:$B$60,0),2)</f>
        <v>#N/A</v>
      </c>
      <c r="EY28" s="163" t="e">
        <f t="shared" si="56"/>
        <v>#N/A</v>
      </c>
      <c r="EZ28" s="163" t="e">
        <f t="shared" si="57"/>
        <v>#N/A</v>
      </c>
      <c r="FA28" s="158" t="b">
        <f t="shared" si="58"/>
        <v>0</v>
      </c>
      <c r="FB28" s="158">
        <f t="shared" si="59"/>
        <v>0</v>
      </c>
      <c r="FC28" s="159">
        <f t="shared" si="60"/>
        <v>0</v>
      </c>
      <c r="FE28" s="240">
        <f t="shared" si="61"/>
        <v>0</v>
      </c>
      <c r="FF28" s="240">
        <f t="shared" si="62"/>
        <v>0</v>
      </c>
      <c r="FG28" s="198" t="str">
        <f t="shared" si="63"/>
        <v>-</v>
      </c>
      <c r="FH28" s="198" t="str">
        <f t="shared" si="64"/>
        <v>-</v>
      </c>
      <c r="FI28" s="198" t="b">
        <f t="shared" si="65"/>
        <v>0</v>
      </c>
      <c r="FJ28" s="198" t="str">
        <f t="shared" si="66"/>
        <v>DS</v>
      </c>
      <c r="FK28" s="198" t="b">
        <f t="shared" si="67"/>
        <v>0</v>
      </c>
      <c r="FL28" s="198" t="str">
        <f t="shared" si="68"/>
        <v>-</v>
      </c>
      <c r="FM28" s="241" t="e">
        <f t="shared" si="69"/>
        <v>#VALUE!</v>
      </c>
      <c r="FN28" s="198">
        <f t="shared" si="70"/>
        <v>170000</v>
      </c>
      <c r="FO28" s="198" t="b">
        <f t="shared" si="71"/>
        <v>0</v>
      </c>
      <c r="FP28" s="198" t="str">
        <f t="shared" si="72"/>
        <v>-</v>
      </c>
      <c r="FQ28" s="198" t="str">
        <f t="shared" si="73"/>
        <v>-</v>
      </c>
      <c r="FR28" s="198">
        <f t="shared" si="74"/>
        <v>0</v>
      </c>
      <c r="FS28" s="198">
        <f t="shared" si="75"/>
        <v>0</v>
      </c>
      <c r="FT28" s="198">
        <f t="shared" si="76"/>
        <v>565.21739130434787</v>
      </c>
      <c r="FU28" s="242" t="e">
        <f>IF($FJ28="DS",INDEX(BP!$B$77:$F$87,MATCH($FI28,BP!$B$77:$B$87,0),MATCH($FF28,BP!$B$77:$F$77,0)),INDEX(BP!$B$77:$F$87,MATCH($FJ28,BP!$B$77:$B$87,0),MATCH($FF28,BP!$B$77:$F$77,0)))</f>
        <v>#N/A</v>
      </c>
      <c r="FV28" s="198" t="e">
        <f t="shared" si="77"/>
        <v>#N/A</v>
      </c>
      <c r="FW28" s="198">
        <f t="shared" si="78"/>
        <v>170000</v>
      </c>
      <c r="FX28" s="198">
        <v>20</v>
      </c>
      <c r="FY28" s="198">
        <v>35000</v>
      </c>
      <c r="FZ28" s="198">
        <v>1</v>
      </c>
      <c r="GA28" s="198" t="e">
        <f t="shared" si="79"/>
        <v>#VALUE!</v>
      </c>
      <c r="GB28" s="198" t="e">
        <f t="shared" si="80"/>
        <v>#VALUE!</v>
      </c>
      <c r="GC28" s="198" t="e">
        <f t="shared" si="81"/>
        <v>#VALUE!</v>
      </c>
      <c r="GD28" s="240">
        <f t="shared" si="82"/>
        <v>0</v>
      </c>
      <c r="GE28" s="242" t="e">
        <f t="shared" si="83"/>
        <v>#VALUE!</v>
      </c>
      <c r="GF28" s="242" t="e">
        <f t="shared" si="84"/>
        <v>#VALUE!</v>
      </c>
      <c r="GG28" s="242" t="e">
        <f t="shared" si="85"/>
        <v>#VALUE!</v>
      </c>
      <c r="GH28" s="243" t="e">
        <f t="shared" si="86"/>
        <v>#VALUE!</v>
      </c>
      <c r="GI28" s="243" t="e">
        <f t="shared" si="87"/>
        <v>#VALUE!</v>
      </c>
      <c r="GJ28" s="243" t="e">
        <f t="shared" si="88"/>
        <v>#VALUE!</v>
      </c>
      <c r="GK28" s="240">
        <f t="shared" si="89"/>
        <v>0</v>
      </c>
      <c r="GL28" s="198">
        <f t="shared" si="90"/>
        <v>0</v>
      </c>
      <c r="GM28" s="198">
        <f t="shared" si="91"/>
        <v>0</v>
      </c>
      <c r="GN28" s="240" t="e">
        <f t="shared" si="92"/>
        <v>#VALUE!</v>
      </c>
      <c r="GO28" s="243" t="e">
        <f t="shared" si="93"/>
        <v>#VALUE!</v>
      </c>
      <c r="GP28" s="198" t="e">
        <f t="shared" si="94"/>
        <v>#VALUE!</v>
      </c>
      <c r="GQ28" s="244" t="e">
        <f t="shared" si="95"/>
        <v>#VALUE!</v>
      </c>
      <c r="GR28" s="199" t="e">
        <f t="shared" si="96"/>
        <v>#N/A</v>
      </c>
      <c r="GS28" s="198" t="e">
        <f t="shared" si="97"/>
        <v>#N/A</v>
      </c>
      <c r="GT28" s="198" t="e">
        <f t="shared" si="98"/>
        <v>#N/A</v>
      </c>
      <c r="GU28" s="198" t="e">
        <f t="shared" si="99"/>
        <v>#N/A</v>
      </c>
      <c r="GV28" s="245">
        <f t="shared" si="100"/>
        <v>0</v>
      </c>
      <c r="GW28" s="198">
        <v>170000</v>
      </c>
      <c r="GX28" s="198">
        <v>8</v>
      </c>
      <c r="GY28" s="198">
        <f t="shared" si="101"/>
        <v>50.26548245743669</v>
      </c>
      <c r="GZ28" s="198" t="e">
        <f t="shared" si="102"/>
        <v>#N/A</v>
      </c>
      <c r="HA28" s="198">
        <v>1</v>
      </c>
      <c r="HB28" s="198" t="e">
        <f t="shared" si="103"/>
        <v>#N/A</v>
      </c>
      <c r="HC28" s="198" t="e">
        <f t="shared" si="104"/>
        <v>#N/A</v>
      </c>
      <c r="HD28" s="198" t="e">
        <f t="shared" si="105"/>
        <v>#N/A</v>
      </c>
      <c r="HE28" s="198">
        <f t="shared" si="106"/>
        <v>120</v>
      </c>
      <c r="HF28" s="198">
        <f t="shared" si="106"/>
        <v>120</v>
      </c>
      <c r="HG28" s="198">
        <v>100</v>
      </c>
      <c r="HH28" s="198" t="e">
        <f t="shared" si="107"/>
        <v>#N/A</v>
      </c>
      <c r="HI28" s="198" t="e">
        <f t="shared" si="108"/>
        <v>#N/A</v>
      </c>
      <c r="HJ28" s="198" t="e">
        <f t="shared" si="109"/>
        <v>#N/A</v>
      </c>
      <c r="HK28" s="198" t="e">
        <f t="shared" si="110"/>
        <v>#N/A</v>
      </c>
      <c r="HL28" s="198" t="e">
        <f t="shared" si="111"/>
        <v>#N/A</v>
      </c>
      <c r="HM28" s="198" t="e">
        <f t="shared" si="112"/>
        <v>#N/A</v>
      </c>
      <c r="HN28" s="241" t="e">
        <f>IF(H28="KP-TypJ",INDEX(TW!$O$168:$P$176,MATCH(V28,TW!$N$168:$N$176,0),MATCH(CJ28-0,TW!$O$167:$P$167,0)),IF(OR($H28="KP-11",$H28="KP-12"),$GQ28,$HM28+$GQ28))</f>
        <v>#N/A</v>
      </c>
    </row>
    <row r="29" spans="1:222" x14ac:dyDescent="0.25">
      <c r="A29" s="349"/>
      <c r="B29" s="350"/>
      <c r="C29" s="417"/>
      <c r="D29" s="350"/>
      <c r="E29" s="349"/>
      <c r="F29" s="350"/>
      <c r="G29" s="17"/>
      <c r="H29" s="420"/>
      <c r="I29" s="421"/>
      <c r="J29" s="421"/>
      <c r="K29" s="418"/>
      <c r="L29" s="418"/>
      <c r="M29" s="419"/>
      <c r="N29" s="10"/>
      <c r="O29" s="410"/>
      <c r="P29" s="411"/>
      <c r="Q29" s="231" t="s">
        <v>7</v>
      </c>
      <c r="R29" s="430"/>
      <c r="S29" s="431"/>
      <c r="T29" s="426"/>
      <c r="U29" s="427"/>
      <c r="V29" s="410"/>
      <c r="W29" s="411"/>
      <c r="X29" s="403" t="str">
        <f t="shared" si="7"/>
        <v/>
      </c>
      <c r="Y29" s="404"/>
      <c r="Z29" s="437"/>
      <c r="AA29" s="438"/>
      <c r="AB29" s="432"/>
      <c r="AC29" s="433"/>
      <c r="AD29" s="435"/>
      <c r="AE29" s="436"/>
      <c r="AF29" s="428"/>
      <c r="AG29" s="429"/>
      <c r="AH29" s="232"/>
      <c r="AI29" s="69" t="str">
        <f t="shared" si="8"/>
        <v/>
      </c>
      <c r="AJ29" s="18"/>
      <c r="AK29" s="349"/>
      <c r="AL29" s="350"/>
      <c r="AM29" s="349"/>
      <c r="AN29" s="350"/>
      <c r="AO29" s="318" t="str">
        <f>IF(AND(OR(H29="KP-8",H29="KP-10"),V29&gt;0),VLOOKUP(V29,'.'!$AO$32:$AQ$40,2,FALSE),"")</f>
        <v/>
      </c>
      <c r="AP29" s="319"/>
      <c r="AQ29" s="441" t="str">
        <f>IF(AND(OR(H29="KP-8",H29="KP-10"),V29&gt;0),VLOOKUP(V29,'.'!$AO$32:$AQ$40,3,FALSE),"")</f>
        <v/>
      </c>
      <c r="AR29" s="442"/>
      <c r="AS29" s="443" t="str">
        <f t="shared" si="9"/>
        <v/>
      </c>
      <c r="AT29" s="444"/>
      <c r="AU29" s="439"/>
      <c r="AV29" s="440"/>
      <c r="AW29" s="439"/>
      <c r="AX29" s="440"/>
      <c r="AY29" s="234"/>
      <c r="AZ29" s="479"/>
      <c r="BA29" s="480"/>
      <c r="BB29" s="480"/>
      <c r="BC29" s="481"/>
      <c r="BD29" s="5"/>
      <c r="BE29" s="5"/>
      <c r="BF29" s="131" t="str">
        <f t="shared" si="10"/>
        <v>-</v>
      </c>
      <c r="BG29" s="132" t="str">
        <f t="shared" si="11"/>
        <v>-</v>
      </c>
      <c r="BH29" s="133" t="str">
        <f t="shared" si="12"/>
        <v>-</v>
      </c>
      <c r="BI29" s="133" t="str">
        <f t="shared" si="13"/>
        <v>-</v>
      </c>
      <c r="BJ29" s="136"/>
      <c r="BK29" s="178" t="str">
        <f t="shared" si="14"/>
        <v>-</v>
      </c>
      <c r="BL29" s="136"/>
      <c r="BM29" s="144" t="str">
        <f t="shared" si="15"/>
        <v>-</v>
      </c>
      <c r="BN29" s="144" t="str">
        <f t="shared" si="16"/>
        <v>-</v>
      </c>
      <c r="BQ29" s="225" t="str">
        <f>IF($H29="","leer",VLOOKUP($H29,'.'!$AO$7:$AY$28,2,FALSE))</f>
        <v>leer</v>
      </c>
      <c r="BR29" s="225" t="str">
        <f>IF($H29="","leer",VLOOKUP($H29,'.'!$AO$7:$AY$28,3,FALSE))</f>
        <v>leer</v>
      </c>
      <c r="BS29" s="225" t="str">
        <f>IF($H29="","Dleer.",IF(OR(K29="QD43",K29="QD43q"),"TypQD43D.",IF(OR(K29="QD51",K29="QD51q"),"TypQD51D.",IF(AND($H29='.'!$AO$22,$K29="02"),"TypG02D.",VLOOKUP($H29,'.'!$AO$7:$AY$28,4,FALSE)))))</f>
        <v>Dleer.</v>
      </c>
      <c r="BT29" s="225" t="str">
        <f>IF($H29="","ITleer.",VLOOKUP($H29,'.'!$AO$7:$AY$28,5,FALSE))</f>
        <v>ITleer.</v>
      </c>
      <c r="BU29" s="225" t="str">
        <f>IF($AD29="(PUR)","TypPURIS.",IF($H29="","ISleer.",VLOOKUP($H29,'.'!$AO$7:$AY$28,6,FALSE)))</f>
        <v>ISleer.</v>
      </c>
      <c r="BV29" s="225" t="str">
        <f>IF($H29="","Fleer.",VLOOKUP($H29,'.'!$AO$7:$AY$28,7,FALSE))</f>
        <v>Fleer.</v>
      </c>
      <c r="BW29" s="225" t="str">
        <f>IF($H29="","leer",IF(AH29&lt;T29*100+220,"leer",VLOOKUP($H29,'.'!$AO$7:$AY$28,8,FALSE)))</f>
        <v>leer</v>
      </c>
      <c r="BX29" s="225" t="str">
        <f>IF($H29="","leer",VLOOKUP($H29,'.'!$AO$7:$AY$28,9,FALSE))</f>
        <v>leer</v>
      </c>
      <c r="BY29" s="225" t="str">
        <f>IF($H29="","leer",VLOOKUP($H29,'.'!$AO$7:$AY$28,10,FALSE))</f>
        <v>leer</v>
      </c>
      <c r="BZ29" s="226" t="e">
        <f>INDEX('.'!$AP$43:$BA$53,MATCH(H29,'.'!$AO$43:$AO$53,0),MATCH(K29,'.'!$AP$42:$BA$42,0))</f>
        <v>#N/A</v>
      </c>
      <c r="CA29" s="225" t="str">
        <f>IF($H29="","leer",VLOOKUP($H29,'.'!$AO$7:$AY$28,11,FALSE))</f>
        <v>leer</v>
      </c>
      <c r="CB29" s="225" t="e">
        <f>INDEX('.'!$AP$56:$BA$66,MATCH(H29,'.'!$AO$56:$AO$66,0),MATCH(K29,'.'!$AP$55:$BA$55,0))</f>
        <v>#N/A</v>
      </c>
      <c r="CC29" s="225" t="str">
        <f>IF(OR($H29="",$H29="KP-TypB",$H29="KP-TypC",$H29="KP-TypD",$H29="KP-TypH",$H29="KP-TypJ",$H29="KP-TypK"),"leer",IF(OR($H29="KP-1",$H29="KPE-1",$H29="KP-3",$H29="KPE-3",$H29="KP-11",$H29="KP-12",$H29="KP-TypG"),VLOOKUP(O29,'.'!$BA$7:$BB$15,2,FALSE),IF(OR($H29="KP-2",$H29="KP-7"),VLOOKUP(O29,'.'!$BD$7:$BE$15,2,FALSE),"n0.")))</f>
        <v>leer</v>
      </c>
      <c r="CD29" s="227" t="e">
        <f>INDEX('.'!$AP$69:$BA$79,MATCH(H29,'.'!$AO$69:$AO$79,0),MATCH(K29,'.'!$AP$68:$BA$68,0))</f>
        <v>#N/A</v>
      </c>
      <c r="CF29" s="117" t="e">
        <f>VLOOKUP($H29,TW!$L$54:$M$72,TW!$M$54,FALSE)</f>
        <v>#N/A</v>
      </c>
      <c r="CG29" s="117">
        <f t="shared" si="17"/>
        <v>0</v>
      </c>
      <c r="CH29" s="118">
        <f t="shared" si="18"/>
        <v>0</v>
      </c>
      <c r="CI29" s="118">
        <f t="shared" si="1"/>
        <v>0</v>
      </c>
      <c r="CJ29" s="117">
        <f t="shared" si="19"/>
        <v>0</v>
      </c>
      <c r="CK29" s="117" t="str">
        <f t="shared" si="20"/>
        <v>ø0-0</v>
      </c>
      <c r="CL29" s="122" t="b">
        <f>IF($H29="KP-1",INDEX(TW!$B$54:$J$63,MATCH($CI29,TW!$B$54:$B$63,0),MATCH($CK29,TW!$B$54:$J$54,0)),IF($H29="KPE-1",INDEX(TW!$B$66:$J$74,MATCH($CI29,TW!$B$66:$B$74,0),MATCH($CK29,TW!$B$66:$J$66,0)),IF($H29="KP-3",INDEX(TW!$B$77:$J$86,MATCH($CI29,TW!$B$77:$B$86,0),MATCH($CK29,TW!$B$77:$J$77,0)),IF($H29="KPE-3",INDEX(TW!$B$89:$J$97,MATCH($CI29,TW!$B$89:$B$97,0),MATCH($CK29,TW!$B$89:$J$89,0)),IF(OR($H29="KP-2",$H29="KP-7"),INDEX(TW!$B$100:$V$109,MATCH($CI29,TW!$B$100:$B$109,0),MATCH($CK29,TW!$B$100:$V$100,0)),IF($H29="KP-10",INDEX(TW!$B$121:$F$130,MATCH($CI29,TW!$B$121:$B$130,0),MATCH($CJ29,TW!$B$121:$F$121,0)),IF($H29="KP-11",INDEX(TW!$B$133:$J$141,MATCH($CI29,TW!$B$133:$B$141,0),MATCH($CK29,TW!$B$133:$J$133,0)),IF($H29="KP-12",INDEX(TW!$B$144:$J$152,MATCH($CI29,TW!$B$144:$B$152,0),MATCH($CK29,TW!$B$144:$J$144,0))))))))))</f>
        <v>0</v>
      </c>
      <c r="CM29" s="117" t="e">
        <f>VLOOKUP($CH29,TW!$B$112:$C$118,TW!$C$113,FALSE)</f>
        <v>#N/A</v>
      </c>
      <c r="CN29" s="235">
        <f t="shared" si="21"/>
        <v>0</v>
      </c>
      <c r="CO29" s="122">
        <f t="shared" si="22"/>
        <v>1</v>
      </c>
      <c r="CP29" s="122" t="e">
        <f>$CL29*(VLOOKUP($CH29,TW!$B$112:$D$118,TW!$D$113,FALSE)/INDEX(TW!$F$112:$J$117,MATCH($CH29,TW!$F$112:$F$117,0),MATCH($CJ29,TW!$F$112:$J$112,0)))</f>
        <v>#N/A</v>
      </c>
      <c r="CQ29" s="122" t="b">
        <f t="shared" si="23"/>
        <v>0</v>
      </c>
      <c r="CR29" s="122" t="str">
        <f t="shared" si="24"/>
        <v>leer</v>
      </c>
      <c r="CS29" s="122">
        <f>IF(H29="KP-12",INDEX(TW!$H$42:$L$50,MATCH($CY29,TW!$B$42:$B$50,0),MATCH($CZ29,TW!$B$42:$F$42,0)),0)</f>
        <v>0</v>
      </c>
      <c r="CT29" s="122">
        <f t="shared" si="25"/>
        <v>-60</v>
      </c>
      <c r="CU29" s="122">
        <f t="shared" si="26"/>
        <v>0</v>
      </c>
      <c r="CV29" s="122" t="str">
        <f>IF(H29="KP-TypJ",INDEX(TW!$K$168:$L$176,MATCH(V29,TW!$H$156:$H$164,0),MATCH(AF29-0,TW!$K$167:$L$167,0)),IF($H29="KP-7",$CG29*$CR29,IF(OR($H29="KP-9",$H29="KPE-9"),999,IF(ISNUMBER($CL29),$CL29*$CG29-$CU29,"-"))))</f>
        <v>-</v>
      </c>
      <c r="CW29" s="101" t="e">
        <f>VLOOKUP($H29,TW!$H$13:$I$30,TW!$I$13,FALSE)</f>
        <v>#N/A</v>
      </c>
      <c r="CX29" s="102" t="str">
        <f t="shared" si="27"/>
        <v>leer</v>
      </c>
      <c r="CY29" s="102">
        <f t="shared" si="28"/>
        <v>-60</v>
      </c>
      <c r="CZ29" s="102">
        <f t="shared" si="2"/>
        <v>0</v>
      </c>
      <c r="DA29" s="115" t="e">
        <f>IF($H29="KP-6",INDEX(TW!$B$25:$F$27,MATCH($CY29,TW!$B$25:$B$27,0),MATCH($CZ29,TW!$B$25:$F$25,0)),IF(OR($H29="KP-8",$H29="KP-10"),INDEX(TW!$B$30:$F$39,MATCH($CY29,TW!$B$30:$B$39,0),MATCH($CZ29,TW!$B$30:$F$30,0)),IF(OR($H29="KP-11",$H29="KP-12"),INDEX(TW!$B$42:$F$50,MATCH($CY29,TW!$B$42:$B$50,0),MATCH($CZ29,TW!$B$42:$F$42,0)),INDEX(TW!$B$13:$F$22,MATCH($CY29,TW!$B$13:$B$22,0),MATCH($CZ29,TW!$B$13:$F$13,0)))))</f>
        <v>#N/A</v>
      </c>
      <c r="DB29" s="115" t="str">
        <f>IF(AND(NOT(CZ29=0),OR(K29="QD43",K29="QD43q",K29="QD51",K29="QD51q")),INDEX(TW!$C$156:$F$164,MATCH(V29,TW!$B$156:$B$164,0),MATCH(K29,TW!$C$155:$F$155,0)),IF(AND(ISNUMBER($CX29),ISNUMBER($DA29)),$CX29*$DA29,"-"))</f>
        <v>-</v>
      </c>
      <c r="DC29" s="236" t="str">
        <f t="shared" si="29"/>
        <v>leer</v>
      </c>
      <c r="DD29" s="236" t="str">
        <f t="shared" si="4"/>
        <v>leer</v>
      </c>
      <c r="DE29" s="236" t="e">
        <f>VLOOKUP($DD29,TW!$B$4:$H$9,TW!$H$4,FALSE)</f>
        <v>#N/A</v>
      </c>
      <c r="DF29" s="237">
        <f t="shared" si="30"/>
        <v>0</v>
      </c>
      <c r="DG29" s="82">
        <f t="shared" si="31"/>
        <v>1</v>
      </c>
      <c r="DH29" s="82" t="e">
        <f>VLOOKUP($DD29,TW!$B$4:$H$9,TW!$G$4,FALSE)</f>
        <v>#N/A</v>
      </c>
      <c r="DI29" s="236" t="str">
        <f>IF($AF29="","leer",IF($AF29=60,VLOOKUP($DD29,TW!$B$4:$H$9,TW!$C$4,FALSE),IF($AF29=80,VLOOKUP($DD29,TW!$B$4:$H$9,TW!$D$4,FALSE),IF($AF29=100,VLOOKUP($DD29,TW!$B$4:$H$9,TW!$E$4,FALSE),IF($AF29=120,VLOOKUP($DD29,TW!$B$4:$H$9,TW!$F$4,FALSE),"")))))</f>
        <v>leer</v>
      </c>
      <c r="DJ29" s="82" t="str">
        <f t="shared" si="32"/>
        <v>leer</v>
      </c>
      <c r="DK29" s="82" t="e">
        <f>IF(H29="KP-TypH",INDEX(TW!$C$168:$D$176,MATCH(V29,TW!$B$168:$B$176,0),MATCH(CJ29-0,TW!$C$167:$D$167,0)),IF(H29="KP-TypJ",INDEX(TW!$G$168:$H$176,MATCH(V29,TW!$F$168:$F$176,0),MATCH(CJ29-0,TW!$G$167:$H$167,0)),$DJ29*$DC29))</f>
        <v>#VALUE!</v>
      </c>
      <c r="DL29" s="77" t="str">
        <f>IF(AND(NOT(CZ29=0),OR(K29="QD43",K29="QD43q",K29="QD51",K29="QD51q")),INDEX(TW!$I$156:$L$164,MATCH(V29,TW!$H$156:$H$164,0),MATCH(K29,TW!$I$155:$L$155,0)),IF(OR(AND($H29="KP-TypG",$K29="02")),100,IF(OR($AU29="x",AND($H29="KP-TypG",$K29="01")),50,"-")))</f>
        <v>-</v>
      </c>
      <c r="DN29" s="171">
        <f t="shared" si="33"/>
        <v>0</v>
      </c>
      <c r="DO29" s="238">
        <f>IF(ISBLANK($AD29),0,INDEX(BP!$B$3:$C$8,MATCH($AD29,BP!$B$3:$B$8,0),2))</f>
        <v>0</v>
      </c>
      <c r="DP29" s="170">
        <f t="shared" si="34"/>
        <v>0</v>
      </c>
      <c r="DQ29" s="163">
        <f t="shared" si="35"/>
        <v>0</v>
      </c>
      <c r="DR29" s="163">
        <f t="shared" si="36"/>
        <v>0</v>
      </c>
      <c r="DS29" s="169">
        <f>INDEX(BP!$B$3:$C$8,6,2)</f>
        <v>0.17499999999999999</v>
      </c>
      <c r="DT29" s="162">
        <f t="shared" si="37"/>
        <v>0</v>
      </c>
      <c r="DU29" s="163">
        <f t="shared" si="38"/>
        <v>0</v>
      </c>
      <c r="DV29" s="170">
        <f t="shared" si="39"/>
        <v>0</v>
      </c>
      <c r="DW29" s="170" t="e">
        <f>INDEX(BP!$B$12:$F$29,MATCH($H29,BP!$B$12:$B$29,0),3)</f>
        <v>#N/A</v>
      </c>
      <c r="DX29" s="170" t="e">
        <f>INDEX(BP!$B$12:$F$29,MATCH($H29,BP!$B$12:$B$29,0),4)</f>
        <v>#N/A</v>
      </c>
      <c r="DY29" s="169" t="e">
        <f t="shared" si="40"/>
        <v>#N/A</v>
      </c>
      <c r="DZ29" s="169" t="e">
        <f t="shared" si="41"/>
        <v>#N/A</v>
      </c>
      <c r="EA29" s="169" t="e">
        <f t="shared" si="42"/>
        <v>#N/A</v>
      </c>
      <c r="EB29" s="169" t="str">
        <f t="shared" si="43"/>
        <v>-</v>
      </c>
      <c r="EC29" s="169" t="e">
        <f t="shared" si="44"/>
        <v>#VALUE!</v>
      </c>
      <c r="ED29" s="169">
        <f>IF(OR(K29="QD43",K29="QD43q"),BP!$C$92,IF(OR(K29="QD51",K29="QD51q"),BP!$C$94,15))</f>
        <v>15</v>
      </c>
      <c r="EE29" s="163">
        <f>IF(OR(K29="QD43",K29="QD43q"),BP!$D$92,IF(OR(K29="QD51",K29="QD51q"),BP!$D$94,IF($DV29=0,0,IF($DW29="SP",$EA29*$DV29,$DV29*$EC29))))</f>
        <v>0</v>
      </c>
      <c r="EF29" s="163">
        <f t="shared" si="45"/>
        <v>0</v>
      </c>
      <c r="EG29" s="169">
        <f t="shared" si="46"/>
        <v>0</v>
      </c>
      <c r="EH29" s="170">
        <f t="shared" si="47"/>
        <v>1100</v>
      </c>
      <c r="EI29" s="169">
        <v>15</v>
      </c>
      <c r="EJ29" s="162">
        <f t="shared" si="48"/>
        <v>0</v>
      </c>
      <c r="EK29" s="162">
        <f t="shared" si="49"/>
        <v>0</v>
      </c>
      <c r="EL29" s="169" t="b">
        <f t="shared" si="50"/>
        <v>0</v>
      </c>
      <c r="EM29" s="239" t="b">
        <f t="shared" si="51"/>
        <v>0</v>
      </c>
      <c r="EN29" s="169">
        <f t="shared" si="52"/>
        <v>0</v>
      </c>
      <c r="EO29" s="169" t="e">
        <f>INDEX(BP!$B$12:$F$29,MATCH($H29,BP!$B$12:$B$29,0),5)</f>
        <v>#N/A</v>
      </c>
      <c r="EP29" s="162">
        <f t="shared" si="53"/>
        <v>0</v>
      </c>
      <c r="EQ29" s="162" t="e">
        <f t="shared" si="54"/>
        <v>#N/A</v>
      </c>
      <c r="ER29" s="169" t="e">
        <f>INDEX(BP!$B$12:$F$29,MATCH($H29,BP!$B$12:$B$29,0),2)</f>
        <v>#N/A</v>
      </c>
      <c r="ES29" s="169" t="str">
        <f>IF(OR($H29="KP-1",$H29="KPE-1",$H29="KP-11"),INDEX(BP!$B$32:$F$41,MATCH($V29,BP!$B$32:$B$41,0),MATCH($AF29,BP!$B$32:$F$32,0)),IF(OR($H29="KP-3",$H29="KPE-3"),INDEX(BP!$B$44:$F$53,MATCH($V29,BP!$B$44:$B$53,0),MATCH($AF29,BP!$B$44:$F$44,0)),"DS"))</f>
        <v>DS</v>
      </c>
      <c r="ET29" s="169" t="b">
        <f t="shared" si="55"/>
        <v>0</v>
      </c>
      <c r="EU29" s="169" t="e">
        <f>INDEX(BP!$B$64:$D$66,MATCH($EM29,BP!$B$64:$B$66,0),2)</f>
        <v>#N/A</v>
      </c>
      <c r="EV29" s="169" t="e">
        <f>IF($H29="KP-11",INDEX(BP!$B$64:$D$74,MATCH($K29,BP!$B$64:$B$74,0),3),$ET29*$EU29)</f>
        <v>#N/A</v>
      </c>
      <c r="EW29" s="169" t="e">
        <f>INDEX(BP!$B$57:$D$60,MATCH($ES29,BP!$B$57:$B$60,0),3)</f>
        <v>#N/A</v>
      </c>
      <c r="EX29" s="169" t="e">
        <f>INDEX(BP!$B$57:$D$60,MATCH($ES29,BP!$B$57:$B$60,0),2)</f>
        <v>#N/A</v>
      </c>
      <c r="EY29" s="163" t="e">
        <f t="shared" si="56"/>
        <v>#N/A</v>
      </c>
      <c r="EZ29" s="163" t="e">
        <f t="shared" si="57"/>
        <v>#N/A</v>
      </c>
      <c r="FA29" s="158" t="b">
        <f t="shared" si="58"/>
        <v>0</v>
      </c>
      <c r="FB29" s="158">
        <f t="shared" si="59"/>
        <v>0</v>
      </c>
      <c r="FC29" s="159">
        <f t="shared" si="60"/>
        <v>0</v>
      </c>
      <c r="FE29" s="240">
        <f t="shared" si="61"/>
        <v>0</v>
      </c>
      <c r="FF29" s="240">
        <f t="shared" si="62"/>
        <v>0</v>
      </c>
      <c r="FG29" s="198" t="str">
        <f t="shared" si="63"/>
        <v>-</v>
      </c>
      <c r="FH29" s="198" t="str">
        <f t="shared" si="64"/>
        <v>-</v>
      </c>
      <c r="FI29" s="198" t="b">
        <f t="shared" si="65"/>
        <v>0</v>
      </c>
      <c r="FJ29" s="198" t="str">
        <f t="shared" si="66"/>
        <v>DS</v>
      </c>
      <c r="FK29" s="198" t="b">
        <f t="shared" si="67"/>
        <v>0</v>
      </c>
      <c r="FL29" s="198" t="str">
        <f t="shared" si="68"/>
        <v>-</v>
      </c>
      <c r="FM29" s="241" t="e">
        <f t="shared" si="69"/>
        <v>#VALUE!</v>
      </c>
      <c r="FN29" s="198">
        <f t="shared" si="70"/>
        <v>170000</v>
      </c>
      <c r="FO29" s="198" t="b">
        <f t="shared" si="71"/>
        <v>0</v>
      </c>
      <c r="FP29" s="198" t="str">
        <f t="shared" si="72"/>
        <v>-</v>
      </c>
      <c r="FQ29" s="198" t="str">
        <f t="shared" si="73"/>
        <v>-</v>
      </c>
      <c r="FR29" s="198">
        <f t="shared" si="74"/>
        <v>0</v>
      </c>
      <c r="FS29" s="198">
        <f t="shared" si="75"/>
        <v>0</v>
      </c>
      <c r="FT29" s="198">
        <f t="shared" si="76"/>
        <v>565.21739130434787</v>
      </c>
      <c r="FU29" s="242" t="e">
        <f>IF($FJ29="DS",INDEX(BP!$B$77:$F$87,MATCH($FI29,BP!$B$77:$B$87,0),MATCH($FF29,BP!$B$77:$F$77,0)),INDEX(BP!$B$77:$F$87,MATCH($FJ29,BP!$B$77:$B$87,0),MATCH($FF29,BP!$B$77:$F$77,0)))</f>
        <v>#N/A</v>
      </c>
      <c r="FV29" s="198" t="e">
        <f t="shared" si="77"/>
        <v>#N/A</v>
      </c>
      <c r="FW29" s="198">
        <f t="shared" si="78"/>
        <v>170000</v>
      </c>
      <c r="FX29" s="198">
        <v>20</v>
      </c>
      <c r="FY29" s="198">
        <v>35000</v>
      </c>
      <c r="FZ29" s="198">
        <v>1</v>
      </c>
      <c r="GA29" s="198" t="e">
        <f t="shared" si="79"/>
        <v>#VALUE!</v>
      </c>
      <c r="GB29" s="198" t="e">
        <f t="shared" si="80"/>
        <v>#VALUE!</v>
      </c>
      <c r="GC29" s="198" t="e">
        <f t="shared" si="81"/>
        <v>#VALUE!</v>
      </c>
      <c r="GD29" s="240">
        <f t="shared" si="82"/>
        <v>0</v>
      </c>
      <c r="GE29" s="242" t="e">
        <f t="shared" si="83"/>
        <v>#VALUE!</v>
      </c>
      <c r="GF29" s="242" t="e">
        <f t="shared" si="84"/>
        <v>#VALUE!</v>
      </c>
      <c r="GG29" s="242" t="e">
        <f t="shared" si="85"/>
        <v>#VALUE!</v>
      </c>
      <c r="GH29" s="243" t="e">
        <f t="shared" si="86"/>
        <v>#VALUE!</v>
      </c>
      <c r="GI29" s="243" t="e">
        <f t="shared" si="87"/>
        <v>#VALUE!</v>
      </c>
      <c r="GJ29" s="243" t="e">
        <f t="shared" si="88"/>
        <v>#VALUE!</v>
      </c>
      <c r="GK29" s="240">
        <f t="shared" si="89"/>
        <v>0</v>
      </c>
      <c r="GL29" s="198">
        <f t="shared" si="90"/>
        <v>0</v>
      </c>
      <c r="GM29" s="198">
        <f t="shared" si="91"/>
        <v>0</v>
      </c>
      <c r="GN29" s="240" t="e">
        <f t="shared" si="92"/>
        <v>#VALUE!</v>
      </c>
      <c r="GO29" s="243" t="e">
        <f t="shared" si="93"/>
        <v>#VALUE!</v>
      </c>
      <c r="GP29" s="198" t="e">
        <f t="shared" si="94"/>
        <v>#VALUE!</v>
      </c>
      <c r="GQ29" s="244" t="e">
        <f t="shared" si="95"/>
        <v>#VALUE!</v>
      </c>
      <c r="GR29" s="199" t="e">
        <f t="shared" si="96"/>
        <v>#N/A</v>
      </c>
      <c r="GS29" s="198" t="e">
        <f t="shared" si="97"/>
        <v>#N/A</v>
      </c>
      <c r="GT29" s="198" t="e">
        <f t="shared" si="98"/>
        <v>#N/A</v>
      </c>
      <c r="GU29" s="198" t="e">
        <f t="shared" si="99"/>
        <v>#N/A</v>
      </c>
      <c r="GV29" s="245">
        <f t="shared" si="100"/>
        <v>0</v>
      </c>
      <c r="GW29" s="198">
        <v>170000</v>
      </c>
      <c r="GX29" s="198">
        <v>8</v>
      </c>
      <c r="GY29" s="198">
        <f t="shared" si="101"/>
        <v>50.26548245743669</v>
      </c>
      <c r="GZ29" s="198" t="e">
        <f t="shared" si="102"/>
        <v>#N/A</v>
      </c>
      <c r="HA29" s="198">
        <v>1</v>
      </c>
      <c r="HB29" s="198" t="e">
        <f t="shared" si="103"/>
        <v>#N/A</v>
      </c>
      <c r="HC29" s="198" t="e">
        <f t="shared" si="104"/>
        <v>#N/A</v>
      </c>
      <c r="HD29" s="198" t="e">
        <f t="shared" si="105"/>
        <v>#N/A</v>
      </c>
      <c r="HE29" s="198">
        <f t="shared" si="106"/>
        <v>120</v>
      </c>
      <c r="HF29" s="198">
        <f t="shared" si="106"/>
        <v>120</v>
      </c>
      <c r="HG29" s="198">
        <v>100</v>
      </c>
      <c r="HH29" s="198" t="e">
        <f t="shared" si="107"/>
        <v>#N/A</v>
      </c>
      <c r="HI29" s="198" t="e">
        <f t="shared" si="108"/>
        <v>#N/A</v>
      </c>
      <c r="HJ29" s="198" t="e">
        <f t="shared" si="109"/>
        <v>#N/A</v>
      </c>
      <c r="HK29" s="198" t="e">
        <f t="shared" si="110"/>
        <v>#N/A</v>
      </c>
      <c r="HL29" s="198" t="e">
        <f t="shared" si="111"/>
        <v>#N/A</v>
      </c>
      <c r="HM29" s="198" t="e">
        <f t="shared" si="112"/>
        <v>#N/A</v>
      </c>
      <c r="HN29" s="241" t="e">
        <f>IF(H29="KP-TypJ",INDEX(TW!$O$168:$P$176,MATCH(V29,TW!$N$168:$N$176,0),MATCH(CJ29-0,TW!$O$167:$P$167,0)),IF(OR($H29="KP-11",$H29="KP-12"),$GQ29,$HM29+$GQ29))</f>
        <v>#N/A</v>
      </c>
    </row>
    <row r="30" spans="1:222" ht="15" customHeight="1" x14ac:dyDescent="0.25">
      <c r="A30" s="422" t="s">
        <v>558</v>
      </c>
      <c r="B30" s="423"/>
      <c r="C30" s="424">
        <f>SUM(C15:D29)</f>
        <v>0</v>
      </c>
      <c r="D30" s="424"/>
      <c r="E30" s="434" t="s">
        <v>559</v>
      </c>
      <c r="F30" s="434"/>
      <c r="H30" s="425" t="s">
        <v>560</v>
      </c>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K30" s="172"/>
      <c r="AL30" s="172"/>
      <c r="AM30" s="172"/>
      <c r="AN30" s="172"/>
      <c r="AO30" s="172"/>
      <c r="AP30" s="172"/>
      <c r="AQ30" s="172"/>
      <c r="AR30" s="172"/>
      <c r="AS30" s="172"/>
      <c r="AT30" s="172"/>
      <c r="AU30" s="172"/>
      <c r="AV30" s="172"/>
      <c r="AW30" s="172"/>
      <c r="AX30" s="173" t="s">
        <v>562</v>
      </c>
      <c r="AY30" s="174">
        <f>SUM(AY15:AY29)</f>
        <v>0</v>
      </c>
      <c r="AZ30" s="175" t="s">
        <v>561</v>
      </c>
      <c r="BA30" s="174"/>
      <c r="BB30" s="175"/>
      <c r="BC30" s="172"/>
      <c r="BD30" s="5"/>
      <c r="BE30" s="5"/>
      <c r="BF30" s="484" t="s">
        <v>295</v>
      </c>
      <c r="BG30" s="484"/>
      <c r="BH30" s="484" t="s">
        <v>296</v>
      </c>
      <c r="BI30" s="484"/>
      <c r="BJ30" s="134"/>
      <c r="BK30" s="200"/>
      <c r="BL30" s="134"/>
      <c r="BM30" s="200"/>
      <c r="BN30" s="200"/>
      <c r="BZ30" s="74"/>
      <c r="CX30" s="97"/>
      <c r="CY30" s="97"/>
      <c r="CZ30" s="97"/>
    </row>
    <row r="31" spans="1:222" ht="8.25" customHeight="1" x14ac:dyDescent="0.25">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14"/>
      <c r="AK31" s="27"/>
      <c r="AL31" s="27"/>
      <c r="AM31" s="27"/>
      <c r="AN31" s="27"/>
      <c r="AO31" s="27"/>
      <c r="AP31" s="27"/>
      <c r="AQ31" s="27"/>
      <c r="AR31" s="27"/>
      <c r="AS31" s="27"/>
      <c r="AT31" s="27"/>
      <c r="AU31" s="27"/>
      <c r="AV31" s="27"/>
      <c r="AW31" s="27"/>
      <c r="AX31" s="27"/>
      <c r="AY31" s="27"/>
      <c r="AZ31" s="9"/>
      <c r="BA31" s="5"/>
      <c r="BB31" s="5"/>
      <c r="BC31" s="5"/>
      <c r="BD31" s="5"/>
      <c r="BE31" s="5"/>
      <c r="BG31" s="141"/>
      <c r="BH31" s="141"/>
      <c r="BI31" s="141"/>
      <c r="BJ31" s="141"/>
      <c r="BK31" s="141"/>
      <c r="BL31" s="141"/>
      <c r="BM31" s="141"/>
      <c r="BN31" s="141"/>
      <c r="FA31" s="155"/>
    </row>
    <row r="32" spans="1:222" ht="22.5" customHeight="1" x14ac:dyDescent="0.25">
      <c r="A32" s="296" t="s">
        <v>566</v>
      </c>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14"/>
      <c r="AK32" s="405" t="s">
        <v>564</v>
      </c>
      <c r="AL32" s="406"/>
      <c r="AM32" s="406"/>
      <c r="AN32" s="406"/>
      <c r="AO32" s="406"/>
      <c r="AP32" s="406"/>
      <c r="AQ32" s="406"/>
      <c r="AR32" s="406"/>
      <c r="AS32" s="406"/>
      <c r="AT32" s="406"/>
      <c r="AU32" s="406"/>
      <c r="AV32" s="406"/>
      <c r="AW32" s="406"/>
      <c r="AX32" s="406"/>
      <c r="AY32" s="407"/>
      <c r="BD32" s="5"/>
      <c r="BF32" s="474" t="s">
        <v>552</v>
      </c>
      <c r="BG32" s="475"/>
      <c r="BH32" s="475"/>
      <c r="BI32" s="475"/>
      <c r="BJ32" s="475"/>
      <c r="BK32" s="475"/>
      <c r="BL32" s="475"/>
      <c r="BM32" s="475"/>
      <c r="BN32" s="475"/>
      <c r="EO32" s="255"/>
      <c r="EZ32" s="155"/>
    </row>
    <row r="33" spans="1:116" ht="22.5" customHeight="1" x14ac:dyDescent="0.25">
      <c r="A33" s="297"/>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48"/>
      <c r="AK33" s="409" t="s">
        <v>563</v>
      </c>
      <c r="AL33" s="416"/>
      <c r="AM33" s="312" t="s">
        <v>2</v>
      </c>
      <c r="AN33" s="313"/>
      <c r="AO33" s="408" t="s">
        <v>3</v>
      </c>
      <c r="AP33" s="409"/>
      <c r="AS33" s="27"/>
      <c r="AT33" s="27"/>
      <c r="AU33" s="27"/>
      <c r="AV33" s="27"/>
      <c r="AW33" s="27"/>
      <c r="AX33" s="27"/>
      <c r="AY33" s="28"/>
      <c r="BD33" s="5"/>
      <c r="BF33" s="475"/>
      <c r="BG33" s="475"/>
      <c r="BH33" s="475"/>
      <c r="BI33" s="475"/>
      <c r="BJ33" s="475"/>
      <c r="BK33" s="475"/>
      <c r="BL33" s="475"/>
      <c r="BM33" s="475"/>
      <c r="BN33" s="475"/>
    </row>
    <row r="34" spans="1:116" ht="22.5" customHeight="1" x14ac:dyDescent="0.25">
      <c r="A34" s="297"/>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48"/>
      <c r="AK34" s="399" t="s">
        <v>171</v>
      </c>
      <c r="AL34" s="400"/>
      <c r="AM34" s="308">
        <v>110</v>
      </c>
      <c r="AN34" s="309"/>
      <c r="AO34" s="471" t="s">
        <v>9</v>
      </c>
      <c r="AP34" s="472"/>
      <c r="AS34" s="27"/>
      <c r="AT34" s="27"/>
      <c r="AU34" s="27"/>
      <c r="AV34" s="27"/>
      <c r="AW34" s="27"/>
      <c r="AX34" s="27"/>
      <c r="AY34" s="28"/>
      <c r="BD34" s="5"/>
      <c r="BF34" s="475"/>
      <c r="BG34" s="475"/>
      <c r="BH34" s="475"/>
      <c r="BI34" s="475"/>
      <c r="BJ34" s="475"/>
      <c r="BK34" s="475"/>
      <c r="BL34" s="475"/>
      <c r="BM34" s="475"/>
      <c r="BN34" s="475"/>
    </row>
    <row r="35" spans="1:116" ht="22.5" customHeight="1" x14ac:dyDescent="0.25">
      <c r="A35" s="297"/>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49"/>
      <c r="AK35" s="401"/>
      <c r="AL35" s="402"/>
      <c r="AM35" s="310"/>
      <c r="AN35" s="311"/>
      <c r="AO35" s="473"/>
      <c r="AP35" s="401"/>
      <c r="AS35" s="247"/>
      <c r="AT35" s="247"/>
      <c r="AU35" s="247"/>
      <c r="AV35" s="247"/>
      <c r="AW35" s="247"/>
      <c r="AX35" s="247"/>
      <c r="AY35" s="28"/>
      <c r="BD35" s="5"/>
      <c r="BF35" s="475"/>
      <c r="BG35" s="475"/>
      <c r="BH35" s="475"/>
      <c r="BI35" s="475"/>
      <c r="BJ35" s="475"/>
      <c r="BK35" s="475"/>
      <c r="BL35" s="475"/>
      <c r="BM35" s="475"/>
      <c r="BN35" s="475"/>
      <c r="CW35" s="256"/>
      <c r="CX35" s="256"/>
      <c r="CY35" s="256"/>
      <c r="CZ35" s="256"/>
    </row>
    <row r="36" spans="1:116" ht="22.5" customHeight="1" x14ac:dyDescent="0.2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49"/>
      <c r="AK36" s="399" t="s">
        <v>172</v>
      </c>
      <c r="AL36" s="400"/>
      <c r="AM36" s="308">
        <v>130</v>
      </c>
      <c r="AN36" s="309"/>
      <c r="AO36" s="471" t="s">
        <v>9</v>
      </c>
      <c r="AP36" s="472"/>
      <c r="AS36" s="247"/>
      <c r="AT36" s="247"/>
      <c r="AU36" s="247"/>
      <c r="AV36" s="247"/>
      <c r="AW36" s="247"/>
      <c r="AX36" s="247"/>
      <c r="AY36" s="250"/>
      <c r="BA36" s="307" t="s">
        <v>565</v>
      </c>
      <c r="BB36" s="307"/>
      <c r="BC36" s="307"/>
      <c r="BD36" s="5"/>
      <c r="BF36" s="475"/>
      <c r="BG36" s="475"/>
      <c r="BH36" s="475"/>
      <c r="BI36" s="475"/>
      <c r="BJ36" s="475"/>
      <c r="BK36" s="475"/>
      <c r="BL36" s="475"/>
      <c r="BM36" s="475"/>
      <c r="BN36" s="475"/>
    </row>
    <row r="37" spans="1:116" ht="22.5" customHeight="1" x14ac:dyDescent="0.25">
      <c r="A37" s="297"/>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15"/>
      <c r="AK37" s="401"/>
      <c r="AL37" s="402"/>
      <c r="AM37" s="310"/>
      <c r="AN37" s="311"/>
      <c r="AO37" s="473"/>
      <c r="AP37" s="401"/>
      <c r="AS37" s="29"/>
      <c r="AT37" s="29"/>
      <c r="AU37" s="29"/>
      <c r="AV37" s="29"/>
      <c r="AW37" s="29"/>
      <c r="AX37" s="29"/>
      <c r="AY37" s="30"/>
      <c r="BA37" s="304" t="s">
        <v>553</v>
      </c>
      <c r="BB37" s="305"/>
      <c r="BC37" s="306"/>
      <c r="BD37" s="251"/>
      <c r="BE37" s="251"/>
      <c r="BF37" s="475"/>
      <c r="BG37" s="475"/>
      <c r="BH37" s="475"/>
      <c r="BI37" s="475"/>
      <c r="BJ37" s="475"/>
      <c r="BK37" s="475"/>
      <c r="BL37" s="475"/>
      <c r="BM37" s="475"/>
      <c r="BN37" s="475"/>
      <c r="BO37" s="251"/>
      <c r="BP37" s="251"/>
      <c r="BQ37" s="251"/>
      <c r="BR37" s="251"/>
      <c r="BS37" s="251"/>
      <c r="BT37" s="251"/>
      <c r="BU37" s="251"/>
      <c r="BV37" s="251"/>
      <c r="BW37" s="251"/>
      <c r="BX37" s="251"/>
      <c r="BY37" s="251"/>
      <c r="BZ37" s="251"/>
      <c r="CA37" s="251"/>
      <c r="CB37" s="251"/>
      <c r="CC37" s="251"/>
      <c r="CD37" s="251"/>
      <c r="CF37" s="257"/>
      <c r="CG37" s="257"/>
      <c r="CH37" s="257"/>
      <c r="CI37" s="257"/>
      <c r="CJ37" s="257"/>
      <c r="CK37" s="257"/>
      <c r="CL37" s="257"/>
      <c r="CM37" s="257"/>
      <c r="CN37" s="257"/>
      <c r="CO37" s="257"/>
      <c r="CP37" s="257"/>
      <c r="CQ37" s="257"/>
      <c r="CR37" s="257"/>
      <c r="CS37" s="257"/>
      <c r="CT37" s="257"/>
      <c r="CU37" s="257"/>
      <c r="CV37" s="257"/>
      <c r="CW37" s="257"/>
      <c r="CX37" s="257"/>
      <c r="CY37" s="257"/>
      <c r="CZ37" s="257"/>
      <c r="DA37" s="257"/>
      <c r="DB37" s="257"/>
      <c r="DC37" s="257"/>
      <c r="DD37" s="257"/>
      <c r="DE37" s="257"/>
      <c r="DF37" s="257"/>
      <c r="DG37" s="257"/>
      <c r="DH37" s="257"/>
      <c r="DI37" s="257"/>
      <c r="DJ37" s="257"/>
      <c r="DK37" s="257"/>
      <c r="DL37" s="257"/>
    </row>
    <row r="38" spans="1:116" ht="22.5" customHeight="1" x14ac:dyDescent="0.25">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15"/>
      <c r="AK38" s="399" t="s">
        <v>173</v>
      </c>
      <c r="AL38" s="400"/>
      <c r="AM38" s="308">
        <v>150</v>
      </c>
      <c r="AN38" s="309"/>
      <c r="AO38" s="471" t="s">
        <v>9</v>
      </c>
      <c r="AP38" s="472"/>
      <c r="AS38" s="29"/>
      <c r="AT38" s="29"/>
      <c r="AU38" s="29"/>
      <c r="AV38" s="29"/>
      <c r="AW38" s="29"/>
      <c r="AX38" s="29"/>
      <c r="AY38" s="30"/>
      <c r="BA38" s="301" t="s">
        <v>554</v>
      </c>
      <c r="BB38" s="302"/>
      <c r="BC38" s="303"/>
      <c r="BD38" s="251"/>
      <c r="BE38" s="251"/>
      <c r="BF38" s="475"/>
      <c r="BG38" s="475"/>
      <c r="BH38" s="475"/>
      <c r="BI38" s="475"/>
      <c r="BJ38" s="475"/>
      <c r="BK38" s="475"/>
      <c r="BL38" s="475"/>
      <c r="BM38" s="475"/>
      <c r="BN38" s="475"/>
      <c r="BO38" s="251"/>
      <c r="BP38" s="251"/>
      <c r="BQ38" s="251"/>
      <c r="BR38" s="251"/>
      <c r="BS38" s="251"/>
      <c r="BT38" s="251"/>
      <c r="BU38" s="251"/>
      <c r="BV38" s="251"/>
      <c r="BW38" s="251"/>
      <c r="BX38" s="251"/>
      <c r="BY38" s="251"/>
      <c r="BZ38" s="251"/>
      <c r="CA38" s="251"/>
      <c r="CB38" s="251"/>
      <c r="CC38" s="251"/>
      <c r="CD38" s="251"/>
      <c r="CF38" s="257"/>
      <c r="CG38" s="257"/>
      <c r="CH38" s="257"/>
      <c r="CI38" s="257"/>
      <c r="CJ38" s="257"/>
      <c r="CK38" s="257"/>
      <c r="CL38" s="257"/>
      <c r="CM38" s="257"/>
      <c r="CN38" s="257"/>
      <c r="CO38" s="257"/>
      <c r="CP38" s="257"/>
      <c r="CQ38" s="257"/>
      <c r="CR38" s="257"/>
      <c r="CS38" s="257"/>
      <c r="CT38" s="257"/>
      <c r="CU38" s="257"/>
      <c r="CV38" s="257"/>
      <c r="CW38" s="257"/>
      <c r="CX38" s="257"/>
      <c r="CY38" s="257"/>
      <c r="CZ38" s="257"/>
      <c r="DA38" s="257"/>
      <c r="DB38" s="257"/>
      <c r="DC38" s="257"/>
      <c r="DD38" s="257"/>
      <c r="DE38" s="257"/>
      <c r="DF38" s="257"/>
      <c r="DG38" s="257"/>
      <c r="DH38" s="257"/>
      <c r="DI38" s="257"/>
      <c r="DJ38" s="257"/>
      <c r="DK38" s="257"/>
      <c r="DL38" s="257"/>
    </row>
    <row r="39" spans="1:116" ht="22.5" customHeight="1" x14ac:dyDescent="0.25">
      <c r="A39" s="297"/>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15"/>
      <c r="AK39" s="401"/>
      <c r="AL39" s="402"/>
      <c r="AM39" s="310"/>
      <c r="AN39" s="311"/>
      <c r="AO39" s="473"/>
      <c r="AP39" s="401"/>
      <c r="AQ39" s="210"/>
      <c r="AR39" s="211"/>
      <c r="AS39" s="31"/>
      <c r="AT39" s="31"/>
      <c r="AU39" s="31"/>
      <c r="AV39" s="31"/>
      <c r="AW39" s="31"/>
      <c r="AX39" s="31"/>
      <c r="AY39" s="32"/>
      <c r="BA39" s="298" t="s">
        <v>555</v>
      </c>
      <c r="BB39" s="299"/>
      <c r="BC39" s="300"/>
      <c r="BD39" s="16"/>
      <c r="BE39" s="16"/>
      <c r="BF39" s="475"/>
      <c r="BG39" s="475"/>
      <c r="BH39" s="475"/>
      <c r="BI39" s="475"/>
      <c r="BJ39" s="475"/>
      <c r="BK39" s="475"/>
      <c r="BL39" s="475"/>
      <c r="BM39" s="475"/>
      <c r="BN39" s="475"/>
      <c r="BO39" s="16"/>
      <c r="BP39" s="16"/>
      <c r="BQ39" s="16"/>
      <c r="BR39" s="16"/>
      <c r="BS39" s="16"/>
      <c r="BT39" s="16"/>
      <c r="BU39" s="16"/>
      <c r="BV39" s="16"/>
      <c r="BW39" s="16"/>
      <c r="BX39" s="16"/>
      <c r="BY39" s="16"/>
      <c r="BZ39" s="16"/>
      <c r="CA39" s="16"/>
      <c r="CB39" s="16"/>
      <c r="CC39" s="16"/>
      <c r="CD39" s="16"/>
      <c r="CF39" s="258"/>
      <c r="CG39" s="258"/>
      <c r="CH39" s="258"/>
      <c r="CI39" s="258"/>
      <c r="CJ39" s="258"/>
      <c r="CK39" s="258"/>
      <c r="CL39" s="258"/>
      <c r="CM39" s="258"/>
      <c r="CN39" s="258"/>
      <c r="CO39" s="258"/>
      <c r="CP39" s="258"/>
      <c r="CQ39" s="258"/>
      <c r="CR39" s="258"/>
      <c r="CS39" s="258"/>
      <c r="CT39" s="258"/>
      <c r="CU39" s="258"/>
      <c r="CV39" s="258"/>
      <c r="CW39" s="258"/>
      <c r="CX39" s="258"/>
      <c r="CY39" s="258"/>
      <c r="CZ39" s="258"/>
      <c r="DA39" s="258"/>
      <c r="DB39" s="258"/>
      <c r="DC39" s="258"/>
      <c r="DD39" s="258"/>
      <c r="DE39" s="258"/>
      <c r="DF39" s="258"/>
      <c r="DG39" s="258"/>
      <c r="DH39" s="258"/>
      <c r="DI39" s="258"/>
      <c r="DJ39" s="258"/>
      <c r="DK39" s="258"/>
      <c r="DL39" s="258"/>
    </row>
    <row r="40" spans="1:116" ht="22.5" customHeight="1" x14ac:dyDescent="0.25">
      <c r="A40" s="297"/>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15"/>
      <c r="AK40" s="288" t="s">
        <v>556</v>
      </c>
      <c r="AL40" s="288"/>
      <c r="AM40" s="288"/>
      <c r="AN40" s="288"/>
      <c r="AO40" s="288"/>
      <c r="AP40" s="288"/>
      <c r="AQ40" s="288"/>
      <c r="AR40" s="288"/>
      <c r="AS40" s="288"/>
      <c r="AT40" s="288"/>
      <c r="AU40" s="288"/>
      <c r="AV40" s="288"/>
      <c r="AW40" s="288"/>
      <c r="AX40" s="288"/>
      <c r="AY40" s="288"/>
      <c r="AZ40" s="288"/>
      <c r="BA40" s="288"/>
      <c r="BB40" s="288"/>
      <c r="BC40" s="288"/>
      <c r="BD40" s="16"/>
      <c r="BE40" s="16"/>
      <c r="BF40" s="476"/>
      <c r="BG40" s="476"/>
      <c r="BH40" s="476"/>
      <c r="BI40" s="476"/>
      <c r="BJ40" s="476"/>
      <c r="BK40" s="476"/>
      <c r="BL40" s="476"/>
      <c r="BM40" s="476"/>
      <c r="BN40" s="476"/>
      <c r="BO40" s="16"/>
      <c r="BP40" s="16"/>
      <c r="BQ40" s="16"/>
      <c r="BR40" s="16"/>
      <c r="BS40" s="16"/>
      <c r="BT40" s="16"/>
      <c r="BU40" s="16"/>
      <c r="BV40" s="16"/>
      <c r="BW40" s="16"/>
      <c r="BX40" s="16"/>
      <c r="BY40" s="16"/>
      <c r="BZ40" s="16"/>
      <c r="CA40" s="16"/>
      <c r="CB40" s="16"/>
      <c r="CC40" s="16"/>
      <c r="CD40" s="16"/>
      <c r="CF40" s="258"/>
      <c r="CG40" s="258"/>
      <c r="CH40" s="258"/>
      <c r="CI40" s="258"/>
      <c r="CJ40" s="258"/>
      <c r="CK40" s="258"/>
      <c r="CL40" s="258"/>
      <c r="CM40" s="258"/>
      <c r="CN40" s="258"/>
      <c r="CO40" s="258"/>
      <c r="CP40" s="258"/>
      <c r="CQ40" s="258"/>
      <c r="CR40" s="258"/>
      <c r="CS40" s="258"/>
      <c r="CT40" s="258"/>
      <c r="CU40" s="258"/>
      <c r="CV40" s="258"/>
      <c r="CW40" s="258"/>
      <c r="CX40" s="258"/>
      <c r="CY40" s="258"/>
      <c r="CZ40" s="258"/>
      <c r="DA40" s="258"/>
      <c r="DB40" s="258"/>
      <c r="DC40" s="258"/>
      <c r="DD40" s="258"/>
      <c r="DE40" s="258"/>
      <c r="DF40" s="258"/>
      <c r="DG40" s="258"/>
      <c r="DH40" s="258"/>
      <c r="DI40" s="258"/>
      <c r="DJ40" s="258"/>
      <c r="DK40" s="258"/>
      <c r="DL40" s="258"/>
    </row>
  </sheetData>
  <sheetProtection algorithmName="SHA-512" hashValue="diR1q31QwuOWbBoJFPN1D79/6ElIQygeaoNFnw+SUPKjXVqDS+Uu1qUNKKrc6TRQ2uxzyrbBj7rrxmxd9HS3Fw==" saltValue="f0TNw9+4kw74wJPmzrNn/A==" spinCount="100000" sheet="1" objects="1" scenarios="1" selectLockedCells="1"/>
  <mergeCells count="578">
    <mergeCell ref="CF10:DL12"/>
    <mergeCell ref="DN10:FC12"/>
    <mergeCell ref="CM13:CM14"/>
    <mergeCell ref="CL13:CL14"/>
    <mergeCell ref="CJ13:CJ14"/>
    <mergeCell ref="CI13:CI14"/>
    <mergeCell ref="EQ13:EQ14"/>
    <mergeCell ref="DN13:DN14"/>
    <mergeCell ref="DX13:DX14"/>
    <mergeCell ref="EV13:EV14"/>
    <mergeCell ref="FA13:FA14"/>
    <mergeCell ref="FB13:FB14"/>
    <mergeCell ref="FC13:FC14"/>
    <mergeCell ref="DR13:DR14"/>
    <mergeCell ref="DO13:DO14"/>
    <mergeCell ref="DP13:DP14"/>
    <mergeCell ref="EW13:EW14"/>
    <mergeCell ref="EU13:EU14"/>
    <mergeCell ref="EO13:EO14"/>
    <mergeCell ref="BH30:BI30"/>
    <mergeCell ref="BF30:BG30"/>
    <mergeCell ref="EG13:EG14"/>
    <mergeCell ref="EH13:EH14"/>
    <mergeCell ref="EK13:EK14"/>
    <mergeCell ref="EL13:EL14"/>
    <mergeCell ref="EM13:EM14"/>
    <mergeCell ref="EN13:EN14"/>
    <mergeCell ref="EI13:EI14"/>
    <mergeCell ref="DY13:DY14"/>
    <mergeCell ref="DZ13:DZ14"/>
    <mergeCell ref="EB13:EB14"/>
    <mergeCell ref="EC13:EC14"/>
    <mergeCell ref="CD13:CD14"/>
    <mergeCell ref="BT13:BT14"/>
    <mergeCell ref="CA13:CA14"/>
    <mergeCell ref="BW13:BW14"/>
    <mergeCell ref="DQ13:DQ14"/>
    <mergeCell ref="DT13:DT14"/>
    <mergeCell ref="DS13:DS14"/>
    <mergeCell ref="DU13:DU14"/>
    <mergeCell ref="DV13:DV14"/>
    <mergeCell ref="BM13:BN13"/>
    <mergeCell ref="FS13:FS14"/>
    <mergeCell ref="FI13:FI14"/>
    <mergeCell ref="FJ13:FJ14"/>
    <mergeCell ref="FG13:FG14"/>
    <mergeCell ref="FK13:FK14"/>
    <mergeCell ref="FE13:FE14"/>
    <mergeCell ref="FF13:FF14"/>
    <mergeCell ref="FL13:FL14"/>
    <mergeCell ref="FM13:FM14"/>
    <mergeCell ref="FN13:FN14"/>
    <mergeCell ref="FO13:FO14"/>
    <mergeCell ref="FP13:FP14"/>
    <mergeCell ref="FQ13:FQ14"/>
    <mergeCell ref="FR13:FR14"/>
    <mergeCell ref="AO34:AP35"/>
    <mergeCell ref="AO36:AP37"/>
    <mergeCell ref="AO38:AP39"/>
    <mergeCell ref="AW29:AX29"/>
    <mergeCell ref="AZ27:BC27"/>
    <mergeCell ref="AZ28:BC28"/>
    <mergeCell ref="BF32:BN40"/>
    <mergeCell ref="ED13:ED14"/>
    <mergeCell ref="EF13:EF14"/>
    <mergeCell ref="CO13:CO14"/>
    <mergeCell ref="AZ29:BC29"/>
    <mergeCell ref="CW13:CW14"/>
    <mergeCell ref="DD13:DD14"/>
    <mergeCell ref="DC13:DC14"/>
    <mergeCell ref="CG13:CG14"/>
    <mergeCell ref="AU18:AV18"/>
    <mergeCell ref="CF13:CF14"/>
    <mergeCell ref="CV13:CV14"/>
    <mergeCell ref="CH13:CH14"/>
    <mergeCell ref="CN13:CN14"/>
    <mergeCell ref="CP13:CP14"/>
    <mergeCell ref="CR13:CR14"/>
    <mergeCell ref="CQ13:CQ14"/>
    <mergeCell ref="CK13:CK14"/>
    <mergeCell ref="H1:AU1"/>
    <mergeCell ref="H3:S3"/>
    <mergeCell ref="AO3:AW3"/>
    <mergeCell ref="BB1:BC1"/>
    <mergeCell ref="AX3:BC3"/>
    <mergeCell ref="T3:AB3"/>
    <mergeCell ref="AX2:BC2"/>
    <mergeCell ref="AO2:AW2"/>
    <mergeCell ref="T2:AB2"/>
    <mergeCell ref="H2:S2"/>
    <mergeCell ref="AC3:AN3"/>
    <mergeCell ref="AC2:AL2"/>
    <mergeCell ref="E17:F17"/>
    <mergeCell ref="X17:Y17"/>
    <mergeCell ref="O17:P17"/>
    <mergeCell ref="AM17:AN17"/>
    <mergeCell ref="Z16:AA16"/>
    <mergeCell ref="T16:U16"/>
    <mergeCell ref="V14:W14"/>
    <mergeCell ref="X15:Y15"/>
    <mergeCell ref="V15:W15"/>
    <mergeCell ref="V16:W16"/>
    <mergeCell ref="AD14:AE14"/>
    <mergeCell ref="AF15:AG15"/>
    <mergeCell ref="AM14:AN14"/>
    <mergeCell ref="AK14:AL14"/>
    <mergeCell ref="AK15:AL15"/>
    <mergeCell ref="X14:Y14"/>
    <mergeCell ref="R16:S16"/>
    <mergeCell ref="K17:M17"/>
    <mergeCell ref="O18:P18"/>
    <mergeCell ref="R18:S18"/>
    <mergeCell ref="T21:U21"/>
    <mergeCell ref="X21:Y21"/>
    <mergeCell ref="X18:Y18"/>
    <mergeCell ref="R20:S20"/>
    <mergeCell ref="R17:S17"/>
    <mergeCell ref="V17:W17"/>
    <mergeCell ref="R19:S19"/>
    <mergeCell ref="V20:W20"/>
    <mergeCell ref="X20:Y20"/>
    <mergeCell ref="T20:U20"/>
    <mergeCell ref="O19:P19"/>
    <mergeCell ref="T17:U17"/>
    <mergeCell ref="V18:W18"/>
    <mergeCell ref="T18:U18"/>
    <mergeCell ref="A13:B14"/>
    <mergeCell ref="C13:D14"/>
    <mergeCell ref="C15:D15"/>
    <mergeCell ref="R15:S15"/>
    <mergeCell ref="R14:S14"/>
    <mergeCell ref="O14:P14"/>
    <mergeCell ref="O13:S13"/>
    <mergeCell ref="H13:J14"/>
    <mergeCell ref="T13:U14"/>
    <mergeCell ref="N13:N14"/>
    <mergeCell ref="K13:M14"/>
    <mergeCell ref="O15:P15"/>
    <mergeCell ref="E13:F14"/>
    <mergeCell ref="E15:F15"/>
    <mergeCell ref="K15:M15"/>
    <mergeCell ref="H15:J15"/>
    <mergeCell ref="A15:B15"/>
    <mergeCell ref="T15:U15"/>
    <mergeCell ref="AQ27:AR27"/>
    <mergeCell ref="AU29:AV29"/>
    <mergeCell ref="AQ29:AR29"/>
    <mergeCell ref="AO29:AP29"/>
    <mergeCell ref="AW27:AX27"/>
    <mergeCell ref="AS28:AT28"/>
    <mergeCell ref="AK28:AL28"/>
    <mergeCell ref="AF28:AG28"/>
    <mergeCell ref="AU28:AV28"/>
    <mergeCell ref="AS27:AT27"/>
    <mergeCell ref="AQ28:AR28"/>
    <mergeCell ref="AO28:AP28"/>
    <mergeCell ref="AS29:AT29"/>
    <mergeCell ref="AM29:AN29"/>
    <mergeCell ref="AO27:AP27"/>
    <mergeCell ref="AF27:AG27"/>
    <mergeCell ref="AK27:AL27"/>
    <mergeCell ref="AK29:AL29"/>
    <mergeCell ref="AD26:AE26"/>
    <mergeCell ref="R23:S23"/>
    <mergeCell ref="A25:B25"/>
    <mergeCell ref="K27:M27"/>
    <mergeCell ref="E25:F25"/>
    <mergeCell ref="Z28:AA28"/>
    <mergeCell ref="AB27:AC27"/>
    <mergeCell ref="R24:S24"/>
    <mergeCell ref="V28:W28"/>
    <mergeCell ref="O26:P26"/>
    <mergeCell ref="AB26:AC26"/>
    <mergeCell ref="X23:Y23"/>
    <mergeCell ref="Z23:AA23"/>
    <mergeCell ref="Z25:AA25"/>
    <mergeCell ref="AB25:AC25"/>
    <mergeCell ref="Z24:AA24"/>
    <mergeCell ref="V26:W26"/>
    <mergeCell ref="V25:W25"/>
    <mergeCell ref="V23:W23"/>
    <mergeCell ref="X24:Y24"/>
    <mergeCell ref="R28:S28"/>
    <mergeCell ref="AD21:AE21"/>
    <mergeCell ref="Z21:AA21"/>
    <mergeCell ref="AB21:AC21"/>
    <mergeCell ref="Z22:AA22"/>
    <mergeCell ref="AB22:AC22"/>
    <mergeCell ref="X19:Y19"/>
    <mergeCell ref="A30:B30"/>
    <mergeCell ref="H29:J29"/>
    <mergeCell ref="C29:D29"/>
    <mergeCell ref="C30:D30"/>
    <mergeCell ref="E29:F29"/>
    <mergeCell ref="A29:B29"/>
    <mergeCell ref="H30:AI30"/>
    <mergeCell ref="T29:U29"/>
    <mergeCell ref="AF29:AG29"/>
    <mergeCell ref="R29:S29"/>
    <mergeCell ref="AB29:AC29"/>
    <mergeCell ref="K29:M29"/>
    <mergeCell ref="E30:F30"/>
    <mergeCell ref="AD29:AE29"/>
    <mergeCell ref="Z29:AA29"/>
    <mergeCell ref="A26:B26"/>
    <mergeCell ref="A27:B27"/>
    <mergeCell ref="A28:B28"/>
    <mergeCell ref="C23:D23"/>
    <mergeCell ref="H23:J23"/>
    <mergeCell ref="E23:F23"/>
    <mergeCell ref="K23:M23"/>
    <mergeCell ref="T27:U27"/>
    <mergeCell ref="T28:U28"/>
    <mergeCell ref="Z20:AA20"/>
    <mergeCell ref="Z19:AA19"/>
    <mergeCell ref="AB19:AC19"/>
    <mergeCell ref="K20:M20"/>
    <mergeCell ref="R21:S21"/>
    <mergeCell ref="V21:W21"/>
    <mergeCell ref="T19:U19"/>
    <mergeCell ref="V19:W19"/>
    <mergeCell ref="C20:D20"/>
    <mergeCell ref="H28:J28"/>
    <mergeCell ref="E24:F24"/>
    <mergeCell ref="C27:D27"/>
    <mergeCell ref="K25:M25"/>
    <mergeCell ref="K26:M26"/>
    <mergeCell ref="E28:F28"/>
    <mergeCell ref="H24:J24"/>
    <mergeCell ref="K24:M24"/>
    <mergeCell ref="C24:D24"/>
    <mergeCell ref="C25:D25"/>
    <mergeCell ref="H25:J25"/>
    <mergeCell ref="E26:F26"/>
    <mergeCell ref="C26:D26"/>
    <mergeCell ref="E27:F27"/>
    <mergeCell ref="C28:D28"/>
    <mergeCell ref="H26:J26"/>
    <mergeCell ref="K28:M28"/>
    <mergeCell ref="T22:U22"/>
    <mergeCell ref="H27:J27"/>
    <mergeCell ref="O27:P27"/>
    <mergeCell ref="O25:P25"/>
    <mergeCell ref="O20:P20"/>
    <mergeCell ref="E22:F22"/>
    <mergeCell ref="H22:J22"/>
    <mergeCell ref="R25:S25"/>
    <mergeCell ref="V22:W22"/>
    <mergeCell ref="R22:S22"/>
    <mergeCell ref="K19:M19"/>
    <mergeCell ref="O22:P22"/>
    <mergeCell ref="C22:D22"/>
    <mergeCell ref="E21:F21"/>
    <mergeCell ref="K22:M22"/>
    <mergeCell ref="H21:J21"/>
    <mergeCell ref="C21:D21"/>
    <mergeCell ref="O21:P21"/>
    <mergeCell ref="C19:D19"/>
    <mergeCell ref="H19:J19"/>
    <mergeCell ref="H20:J20"/>
    <mergeCell ref="E20:F20"/>
    <mergeCell ref="A16:B16"/>
    <mergeCell ref="E18:F18"/>
    <mergeCell ref="A18:B18"/>
    <mergeCell ref="C18:D18"/>
    <mergeCell ref="C17:D17"/>
    <mergeCell ref="K21:M21"/>
    <mergeCell ref="O24:P24"/>
    <mergeCell ref="O23:P23"/>
    <mergeCell ref="C16:D16"/>
    <mergeCell ref="K18:M18"/>
    <mergeCell ref="H16:J16"/>
    <mergeCell ref="H18:J18"/>
    <mergeCell ref="A24:B24"/>
    <mergeCell ref="E19:F19"/>
    <mergeCell ref="A19:B19"/>
    <mergeCell ref="A23:B23"/>
    <mergeCell ref="A21:B21"/>
    <mergeCell ref="A22:B22"/>
    <mergeCell ref="A20:B20"/>
    <mergeCell ref="A17:B17"/>
    <mergeCell ref="K16:M16"/>
    <mergeCell ref="O16:P16"/>
    <mergeCell ref="E16:F16"/>
    <mergeCell ref="H17:J17"/>
    <mergeCell ref="AK34:AL35"/>
    <mergeCell ref="AS22:AT22"/>
    <mergeCell ref="AO33:AP33"/>
    <mergeCell ref="X26:Y26"/>
    <mergeCell ref="AD28:AE28"/>
    <mergeCell ref="AB28:AC28"/>
    <mergeCell ref="AM26:AN26"/>
    <mergeCell ref="AM27:AN27"/>
    <mergeCell ref="O29:P29"/>
    <mergeCell ref="R26:S26"/>
    <mergeCell ref="R27:S27"/>
    <mergeCell ref="V27:W27"/>
    <mergeCell ref="T26:U26"/>
    <mergeCell ref="V29:W29"/>
    <mergeCell ref="Z26:AA26"/>
    <mergeCell ref="Z27:AA27"/>
    <mergeCell ref="AD27:AE27"/>
    <mergeCell ref="AD25:AE25"/>
    <mergeCell ref="AK33:AL33"/>
    <mergeCell ref="T24:U24"/>
    <mergeCell ref="T23:U23"/>
    <mergeCell ref="T25:U25"/>
    <mergeCell ref="AB23:AC23"/>
    <mergeCell ref="AD24:AE24"/>
    <mergeCell ref="AK36:AL37"/>
    <mergeCell ref="AK38:AL39"/>
    <mergeCell ref="AF25:AG25"/>
    <mergeCell ref="AD23:AE23"/>
    <mergeCell ref="X22:Y22"/>
    <mergeCell ref="AK25:AL25"/>
    <mergeCell ref="X27:Y27"/>
    <mergeCell ref="X28:Y28"/>
    <mergeCell ref="X29:Y29"/>
    <mergeCell ref="X25:Y25"/>
    <mergeCell ref="AK32:AY32"/>
    <mergeCell ref="AM28:AN28"/>
    <mergeCell ref="AU27:AV27"/>
    <mergeCell ref="AW28:AX28"/>
    <mergeCell ref="AU26:AV26"/>
    <mergeCell ref="AF24:AG24"/>
    <mergeCell ref="AF22:AG22"/>
    <mergeCell ref="AQ23:AR23"/>
    <mergeCell ref="AB24:AC24"/>
    <mergeCell ref="AD22:AE22"/>
    <mergeCell ref="AK24:AL24"/>
    <mergeCell ref="AK22:AL22"/>
    <mergeCell ref="AW26:AX26"/>
    <mergeCell ref="AS26:AT26"/>
    <mergeCell ref="AF26:AG26"/>
    <mergeCell ref="AK26:AL26"/>
    <mergeCell ref="AK21:AL21"/>
    <mergeCell ref="AQ22:AR22"/>
    <mergeCell ref="AU24:AV24"/>
    <mergeCell ref="AZ25:BC25"/>
    <mergeCell ref="AW25:AX25"/>
    <mergeCell ref="AZ23:BC23"/>
    <mergeCell ref="V24:W24"/>
    <mergeCell ref="AZ21:BC21"/>
    <mergeCell ref="AU22:AV22"/>
    <mergeCell ref="AZ22:BC22"/>
    <mergeCell ref="AF21:AG21"/>
    <mergeCell ref="AS23:AT23"/>
    <mergeCell ref="AU21:AV21"/>
    <mergeCell ref="AF23:AG23"/>
    <mergeCell ref="AK23:AL23"/>
    <mergeCell ref="AO24:AP24"/>
    <mergeCell ref="AS25:AT25"/>
    <mergeCell ref="AQ24:AR24"/>
    <mergeCell ref="AQ21:AR21"/>
    <mergeCell ref="AO21:AP21"/>
    <mergeCell ref="AS24:AT24"/>
    <mergeCell ref="AO23:AP23"/>
    <mergeCell ref="V13:Y13"/>
    <mergeCell ref="AS13:AT14"/>
    <mergeCell ref="AO13:AR13"/>
    <mergeCell ref="Z14:AA14"/>
    <mergeCell ref="X16:Y16"/>
    <mergeCell ref="AF20:AG20"/>
    <mergeCell ref="AF19:AG19"/>
    <mergeCell ref="AK19:AL19"/>
    <mergeCell ref="AK20:AL20"/>
    <mergeCell ref="AF16:AG16"/>
    <mergeCell ref="AB18:AC18"/>
    <mergeCell ref="AB16:AC16"/>
    <mergeCell ref="AD17:AE17"/>
    <mergeCell ref="AD19:AE19"/>
    <mergeCell ref="AF17:AG17"/>
    <mergeCell ref="AF18:AG18"/>
    <mergeCell ref="AK18:AL18"/>
    <mergeCell ref="AD18:AE18"/>
    <mergeCell ref="AK16:AL16"/>
    <mergeCell ref="AD20:AE20"/>
    <mergeCell ref="AB20:AC20"/>
    <mergeCell ref="AB17:AC17"/>
    <mergeCell ref="Z18:AA18"/>
    <mergeCell ref="Z17:AA17"/>
    <mergeCell ref="AO17:AP17"/>
    <mergeCell ref="AS18:AT18"/>
    <mergeCell ref="Z15:AA15"/>
    <mergeCell ref="AB14:AC14"/>
    <mergeCell ref="AQ14:AR14"/>
    <mergeCell ref="AF14:AG14"/>
    <mergeCell ref="AH13:AH14"/>
    <mergeCell ref="AI13:AI14"/>
    <mergeCell ref="AQ15:AR15"/>
    <mergeCell ref="AD15:AE15"/>
    <mergeCell ref="AS15:AT15"/>
    <mergeCell ref="AQ16:AR16"/>
    <mergeCell ref="AK17:AL17"/>
    <mergeCell ref="AD16:AE16"/>
    <mergeCell ref="AB15:AC15"/>
    <mergeCell ref="AO16:AP16"/>
    <mergeCell ref="AO15:AP15"/>
    <mergeCell ref="AD13:AG13"/>
    <mergeCell ref="AM15:AN15"/>
    <mergeCell ref="AM16:AN16"/>
    <mergeCell ref="AO14:AP14"/>
    <mergeCell ref="Z13:AC13"/>
    <mergeCell ref="AZ24:BC24"/>
    <mergeCell ref="AW24:AX24"/>
    <mergeCell ref="AQ25:AR25"/>
    <mergeCell ref="AM21:AN21"/>
    <mergeCell ref="AM22:AN22"/>
    <mergeCell ref="AM23:AN23"/>
    <mergeCell ref="AM18:AN18"/>
    <mergeCell ref="AK13:AN13"/>
    <mergeCell ref="AS16:AT16"/>
    <mergeCell ref="AS17:AT17"/>
    <mergeCell ref="AM24:AN24"/>
    <mergeCell ref="AM25:AN25"/>
    <mergeCell ref="AO25:AP25"/>
    <mergeCell ref="AO22:AP22"/>
    <mergeCell ref="AS21:AT21"/>
    <mergeCell ref="AZ15:BC15"/>
    <mergeCell ref="AW13:AX14"/>
    <mergeCell ref="FT13:FT14"/>
    <mergeCell ref="AM19:AN19"/>
    <mergeCell ref="AM20:AN20"/>
    <mergeCell ref="AU20:AV20"/>
    <mergeCell ref="AQ20:AR20"/>
    <mergeCell ref="AO20:AP20"/>
    <mergeCell ref="AS20:AT20"/>
    <mergeCell ref="AW19:AX19"/>
    <mergeCell ref="AU23:AV23"/>
    <mergeCell ref="AW23:AX23"/>
    <mergeCell ref="AW21:AX21"/>
    <mergeCell ref="AW20:AX20"/>
    <mergeCell ref="BR13:BR14"/>
    <mergeCell ref="AY13:AY14"/>
    <mergeCell ref="AU13:AV14"/>
    <mergeCell ref="AZ13:BC14"/>
    <mergeCell ref="AZ20:BC20"/>
    <mergeCell ref="AU17:AV17"/>
    <mergeCell ref="BV13:BV14"/>
    <mergeCell ref="BF13:BI13"/>
    <mergeCell ref="AW22:AX22"/>
    <mergeCell ref="BU13:BU14"/>
    <mergeCell ref="BQ13:BQ14"/>
    <mergeCell ref="BS13:BS14"/>
    <mergeCell ref="FU13:FU14"/>
    <mergeCell ref="FV13:FV14"/>
    <mergeCell ref="FW13:FW14"/>
    <mergeCell ref="FX13:FX14"/>
    <mergeCell ref="FY13:FY14"/>
    <mergeCell ref="FZ13:FZ14"/>
    <mergeCell ref="AO19:AP19"/>
    <mergeCell ref="AQ19:AR19"/>
    <mergeCell ref="AU19:AV19"/>
    <mergeCell ref="AQ18:AR18"/>
    <mergeCell ref="AO18:AP18"/>
    <mergeCell ref="AS19:AT19"/>
    <mergeCell ref="AZ19:BC19"/>
    <mergeCell ref="DF13:DF14"/>
    <mergeCell ref="DA13:DA14"/>
    <mergeCell ref="DB13:DB14"/>
    <mergeCell ref="CX13:CX14"/>
    <mergeCell ref="AQ17:AR17"/>
    <mergeCell ref="CC13:CC14"/>
    <mergeCell ref="BX13:BX14"/>
    <mergeCell ref="BY13:BY14"/>
    <mergeCell ref="BZ13:BZ14"/>
    <mergeCell ref="CB13:CB14"/>
    <mergeCell ref="BK13:BK14"/>
    <mergeCell ref="GA13:GA14"/>
    <mergeCell ref="CS13:CS14"/>
    <mergeCell ref="CU13:CU14"/>
    <mergeCell ref="CT13:CT14"/>
    <mergeCell ref="DL13:DL14"/>
    <mergeCell ref="DI13:DI14"/>
    <mergeCell ref="DE13:DE14"/>
    <mergeCell ref="DG13:DG14"/>
    <mergeCell ref="DH13:DH14"/>
    <mergeCell ref="DJ13:DJ14"/>
    <mergeCell ref="CY13:CY14"/>
    <mergeCell ref="CZ13:CZ14"/>
    <mergeCell ref="DK13:DK14"/>
    <mergeCell ref="EZ13:EZ14"/>
    <mergeCell ref="EP13:EP14"/>
    <mergeCell ref="ER13:ER14"/>
    <mergeCell ref="ES13:ES14"/>
    <mergeCell ref="ET13:ET14"/>
    <mergeCell ref="EX13:EX14"/>
    <mergeCell ref="EY13:EY14"/>
    <mergeCell ref="EE13:EE14"/>
    <mergeCell ref="EJ13:EJ14"/>
    <mergeCell ref="DW13:DW14"/>
    <mergeCell ref="EA13:EA14"/>
    <mergeCell ref="GM13:GM14"/>
    <mergeCell ref="GN13:GN14"/>
    <mergeCell ref="GO13:GO14"/>
    <mergeCell ref="GP13:GP14"/>
    <mergeCell ref="GQ13:GQ14"/>
    <mergeCell ref="GR13:GR14"/>
    <mergeCell ref="GS13:GS14"/>
    <mergeCell ref="GT13:GT14"/>
    <mergeCell ref="GB13:GB14"/>
    <mergeCell ref="GC13:GC14"/>
    <mergeCell ref="GD13:GD14"/>
    <mergeCell ref="GE13:GE14"/>
    <mergeCell ref="GF13:GF14"/>
    <mergeCell ref="GG13:GG14"/>
    <mergeCell ref="GH13:GH14"/>
    <mergeCell ref="GI13:GI14"/>
    <mergeCell ref="GJ13:GJ14"/>
    <mergeCell ref="HM13:HM14"/>
    <mergeCell ref="HN13:HN14"/>
    <mergeCell ref="FE10:HN12"/>
    <mergeCell ref="FH13:FH14"/>
    <mergeCell ref="HD13:HD14"/>
    <mergeCell ref="HE13:HE14"/>
    <mergeCell ref="HF13:HF14"/>
    <mergeCell ref="HG13:HG14"/>
    <mergeCell ref="HH13:HH14"/>
    <mergeCell ref="HI13:HI14"/>
    <mergeCell ref="HJ13:HJ14"/>
    <mergeCell ref="HK13:HK14"/>
    <mergeCell ref="HL13:HL14"/>
    <mergeCell ref="GU13:GU14"/>
    <mergeCell ref="GV13:GV14"/>
    <mergeCell ref="GW13:GW14"/>
    <mergeCell ref="GX13:GX14"/>
    <mergeCell ref="GY13:GY14"/>
    <mergeCell ref="GZ13:GZ14"/>
    <mergeCell ref="HA13:HA14"/>
    <mergeCell ref="HB13:HB14"/>
    <mergeCell ref="GK13:GK14"/>
    <mergeCell ref="HC13:HC14"/>
    <mergeCell ref="GL13:GL14"/>
    <mergeCell ref="AK40:BC40"/>
    <mergeCell ref="O28:P28"/>
    <mergeCell ref="AZ18:BC18"/>
    <mergeCell ref="AZ16:BC16"/>
    <mergeCell ref="AZ17:BC17"/>
    <mergeCell ref="AZ26:BC26"/>
    <mergeCell ref="AU15:AV15"/>
    <mergeCell ref="AW15:AX15"/>
    <mergeCell ref="A32:AI40"/>
    <mergeCell ref="BA39:BC39"/>
    <mergeCell ref="BA38:BC38"/>
    <mergeCell ref="BA37:BC37"/>
    <mergeCell ref="BA36:BC36"/>
    <mergeCell ref="AM38:AN39"/>
    <mergeCell ref="AM36:AN37"/>
    <mergeCell ref="AM34:AN35"/>
    <mergeCell ref="AM33:AN33"/>
    <mergeCell ref="AW16:AX16"/>
    <mergeCell ref="AW17:AX17"/>
    <mergeCell ref="AW18:AX18"/>
    <mergeCell ref="AU25:AV25"/>
    <mergeCell ref="AU16:AV16"/>
    <mergeCell ref="AQ26:AR26"/>
    <mergeCell ref="AO26:AP26"/>
    <mergeCell ref="A2:G11"/>
    <mergeCell ref="AS5:BC7"/>
    <mergeCell ref="AF5:AR7"/>
    <mergeCell ref="AF9:AR11"/>
    <mergeCell ref="AS9:BC11"/>
    <mergeCell ref="AS4:BC4"/>
    <mergeCell ref="AF4:AR4"/>
    <mergeCell ref="AS8:BC8"/>
    <mergeCell ref="AF8:AR8"/>
    <mergeCell ref="H7:S7"/>
    <mergeCell ref="H6:S6"/>
    <mergeCell ref="T4:AE4"/>
    <mergeCell ref="H4:S4"/>
    <mergeCell ref="H5:S5"/>
    <mergeCell ref="T5:AE7"/>
    <mergeCell ref="H8:S8"/>
    <mergeCell ref="T8:AE8"/>
    <mergeCell ref="H10:S10"/>
    <mergeCell ref="H11:S11"/>
    <mergeCell ref="H9:S9"/>
    <mergeCell ref="T9:AE11"/>
  </mergeCells>
  <conditionalFormatting sqref="AY36">
    <cfRule type="expression" dxfId="596" priority="36">
      <formula>OR($J37=1,$J37=2,$J37=3,$J37=4,$J37=5,$J37=6,$J37=7,$J37=8,$J37=9,$J37=10,$J37=11,$J37=12)</formula>
    </cfRule>
  </conditionalFormatting>
  <conditionalFormatting sqref="AK15:AN29">
    <cfRule type="expression" dxfId="595" priority="41">
      <formula>OR($H15="KP-1",$H15="KPE-1",$H15="KP-2",$H15="KP-3",$H15="KPE-3",$H15="KP-4",$H15="KP-5",$H15="KP-6",$H15="KP-8",$H15="KP-9",$H15="KPE-9",$H15="KP-10",$H15="KP-11",$H15="KP-12",$H15="KP-TypG",$H15="KP-TypH",$H15="KP-TypJ")</formula>
    </cfRule>
  </conditionalFormatting>
  <conditionalFormatting sqref="AO15:AR29">
    <cfRule type="expression" dxfId="594" priority="42">
      <formula>OR($H15="KP-1",$H15="KPE-1",$H15="KP-2",$H15="KP-3",$H15="KPE-3",$H15="KP-4",$H15="KP-5",$H15="KP-6",$H15="KP-7",$H15="KP-8",$H15="KP-9",$H15="KPE-9",$H15="KP-10",$H15="KP-11",$H15="KP-12",$H15="KP-TypG",$H15="KP-TypH",$H15="KP-TypJ")</formula>
    </cfRule>
  </conditionalFormatting>
  <conditionalFormatting sqref="AI15:AI29">
    <cfRule type="expression" dxfId="593" priority="35">
      <formula>AND(NOT(ISBLANK($AH15)),$AH15&lt;$AI15)</formula>
    </cfRule>
  </conditionalFormatting>
  <conditionalFormatting sqref="AS15:AT29">
    <cfRule type="expression" dxfId="592" priority="27">
      <formula>OR($H15="KP-1",$H15="KPE-1",$H15="KP-2",$H15="KP-3",$H15="KPE-3",$H15="KP-4",$H15="KP-5",$H15="KP-6",$H15="KP-7",$H15="KP-8",$H15="KP-9",$H15="KPE-9",$H15="KP-10",$H15="KP-11",$H15="KP-12",$H15="KP-TypG",$H15="KP-TypH",$H15="KP-TypJ")</formula>
    </cfRule>
  </conditionalFormatting>
  <conditionalFormatting sqref="AY15:AY29">
    <cfRule type="expression" dxfId="591" priority="32">
      <formula>OR($H15="KP-1",$H15="KPE-1",$H15="KP-2",$H15="KP-3",$H15="KPE-3",$H15="KP-5",$H15="KP-6",$H15="KP-7",$H15="KP-8",$H15="KP-9",$H15="KPE-9",$H15="KP-10",$H15="KP-11",$H15="KP-12",$H15="KP-TypG",$H15="KP-TypH",$H15="KP-TypJ")</formula>
    </cfRule>
  </conditionalFormatting>
  <conditionalFormatting sqref="BF15:BN15">
    <cfRule type="cellIs" dxfId="590" priority="26" operator="equal">
      <formula>"x"</formula>
    </cfRule>
  </conditionalFormatting>
  <conditionalFormatting sqref="K15:M29">
    <cfRule type="expression" dxfId="589" priority="22">
      <formula>OR($H15="KP-1",$H15="KPE-1",$H15="KP-2",$H15="KP-3",$H15="KPE-3",$H15="KP-4",$H15="KP-5",$H15="KP-6",$H15="KP-7",$H15="KP-8",$H15="KP-9",$H15="KPE-9",$H15="KP-10",$H15="KP-11",$H15="KP-12",$H15="KP-TypG",$H15="KP-TypH",$H15="KP-TypJ")</formula>
    </cfRule>
  </conditionalFormatting>
  <conditionalFormatting sqref="V15:W29">
    <cfRule type="expression" dxfId="588" priority="16">
      <formula>OR($H15="KP-1",$H15="KPE-1",$H15="KP-2",$H15="KP-3",$H15="KPE-3",$H15="KP-4",$H15="KP-5",$H15="KP-6",$H15="KP-7",$H15="KP-8",$H15="KP-9",$H15="KPE-9",$H15="KP-10",$H15="KP-11",$H15="KP-12",$H15="KP-TypG",$H15="KP-TypH",$H15="KP-TypJ")</formula>
    </cfRule>
  </conditionalFormatting>
  <conditionalFormatting sqref="AD15:AE29">
    <cfRule type="expression" dxfId="587" priority="11">
      <formula>OR($H15="KP-1",$H15="KPE-1",$H15="KP-2",$H15="KP-3",$H15="KPE-3",$H15="KP-4",$H15="KP-5",$H15="KP-6",$H15="KP-7",$H15="KP-8",$H15="KP-9",$H15="KPE-9",$H15="KP-10",$H15="KP-11",$H15="KP-12",$H15="KP-TypG",$H15="KP-TypH",$H15="KP-TypJ")</formula>
    </cfRule>
  </conditionalFormatting>
  <conditionalFormatting sqref="AF15:AG29">
    <cfRule type="expression" dxfId="586" priority="12">
      <formula>OR($H15="KP-1",$H15="KPE-1",$H15="KP-2",$H15="KP-3",$H15="KPE-3",$H15="KP-4",$H15="KP-5",$H15="KP-6",$H15="KP-7",$H15="KP-8",$H15="KP-9",$H15="KPE-9",$H15="KP-10",$H15="KP-11",$H15="KP-12",$H15="KP-TypG",$H15="KP-TypH",$H15="KP-TypJ")</formula>
    </cfRule>
  </conditionalFormatting>
  <conditionalFormatting sqref="AK15:AY29 K15:AI29">
    <cfRule type="expression" dxfId="585" priority="7">
      <formula>OR($H15="KP-TypB",$H15="KP-TypC",$H15="KP-TypD",$H15="KP-TypK")</formula>
    </cfRule>
  </conditionalFormatting>
  <conditionalFormatting sqref="AK15:AL29">
    <cfRule type="expression" dxfId="584" priority="40">
      <formula>OR($H15="KP-7")</formula>
    </cfRule>
  </conditionalFormatting>
  <conditionalFormatting sqref="AM15:AN29">
    <cfRule type="expression" dxfId="583" priority="5">
      <formula>OR($H15="KP-7")</formula>
    </cfRule>
  </conditionalFormatting>
  <conditionalFormatting sqref="BF16:BN29">
    <cfRule type="cellIs" dxfId="582" priority="3" operator="equal">
      <formula>"x"</formula>
    </cfRule>
  </conditionalFormatting>
  <conditionalFormatting sqref="H15:J29">
    <cfRule type="expression" dxfId="581" priority="2">
      <formula>OR($H15="KP-1",$H15="KPE-1",$H15="KP-2",$H15="KP-3",$H15="KPE-3",$H15="KP-4",$H15="KP-5",$H15="KP-6",$H15="KP-7",$H15="KP-8",$H15="KP-9",$H15="KPE-9",$H15="KP-10",$H15="KP-11",$H15="KP-12",$H15="KP-TypG",$H15="KP-TypH",$H15="KP-TypJ")</formula>
    </cfRule>
    <cfRule type="expression" dxfId="580" priority="8">
      <formula>OR($H15="KP-TypB",$H15="KP-TypC",$H15="KP-TypD",$H15="KP-TypH",$H15="KP-TypJ",$H15="KP-TypK")</formula>
    </cfRule>
  </conditionalFormatting>
  <conditionalFormatting sqref="O15:P29">
    <cfRule type="expression" dxfId="579" priority="23">
      <formula>AND(NOT($K15="00"),NOT(ISBLANK($K15)),OR($H15="KP-9",$H15="KPE-9",$H15="KP-11",$H15="KP-12",$H15="KP-TypH",$H15="KP-TypJ"))</formula>
    </cfRule>
    <cfRule type="expression" dxfId="578" priority="24">
      <formula>OR($H15="KP-5",$H15="KP-6",$H15="KP-8",$H15="KP-10",$H15="KP-TypG",$H15="KP-11",$H15="KP-12",$H15="KP-TypH",$H15="KP-TypJ")</formula>
    </cfRule>
    <cfRule type="expression" dxfId="577" priority="25">
      <formula>AND(OR($K15="00",ISBLANK($K15)),OR($H15="KP-1",$H15="KPE-1",$H15="KP-2",$H15="KP-3",$H15="KPE-3",$H15="KP-7",$H15="KP-9",$H15="KPE-9"))</formula>
    </cfRule>
  </conditionalFormatting>
  <conditionalFormatting sqref="Q15:Q29">
    <cfRule type="expression" dxfId="576" priority="34">
      <formula>AND(NOT($K15="00"),NOT(ISBLANK($K15)),OR($H15="KP-9",$H15="KPE-9",$H15="KP-11",$H15="KP-12",$H15="KP-TypH",$H15="KP-TypJ"))</formula>
    </cfRule>
    <cfRule type="expression" dxfId="575" priority="38">
      <formula>OR($H15="KP-5",$H15="KP-6",$H15="KP-8",$H15="KP-10",$H15="KP-TypG",$H15="KP-11",$H15="KP-12",$H15="KP-TypH",$H15="KP-TypJ")</formula>
    </cfRule>
    <cfRule type="expression" dxfId="574" priority="39">
      <formula>AND(OR($K15="00",ISBLANK($K15)),OR($H15="KP-1",$H15="KPE-1",$H15="KP-2",$H15="KP-3",$H15="KPE-3",$H15="KP-7",$H15="KP-9",$H15="KPE-9"))</formula>
    </cfRule>
  </conditionalFormatting>
  <conditionalFormatting sqref="N15:N29">
    <cfRule type="expression" dxfId="573" priority="20">
      <formula>OR($H15="KP-3",$H15="KPE-3")</formula>
    </cfRule>
    <cfRule type="expression" dxfId="572" priority="21">
      <formula>OR($H15="KP-1",$H15="KPE-1",$H15="KP-2",$H15="KP-4",$H15="KP-5",$H15="KP-6",$H15="KP-7",$H15="KP-8",$H15="KP-9",$H15="KPE-9",$H15="KP-10",$H15="KP-11",$H15="KP-12",$H15="KP-TypG",$H15="KP-TypH",$H15="KP-TypJ")</formula>
    </cfRule>
  </conditionalFormatting>
  <conditionalFormatting sqref="R15:S29">
    <cfRule type="expression" dxfId="571" priority="17">
      <formula>AND(NOT($K15="00"),NOT(ISBLANK($K15)),OR($H15="KP-9",$H15="KPE-9",$H15="KP-11",$H15="KP-12",$H15="KP-TypH",$H15="KP-TypJ"))</formula>
    </cfRule>
    <cfRule type="expression" dxfId="570" priority="18">
      <formula>OR($H15="KP-5",$H15="KP-6",$H15="KP-8",$H15="KP-10",$H15="KP-TypG",$H15="KP-11",$H15="KP-12",$H15="KP-TypH",$H15="KP-TypJ")</formula>
    </cfRule>
    <cfRule type="expression" dxfId="569" priority="19">
      <formula>AND(OR($K15="00",ISBLANK($K15)),OR($H15="KP-1",$H15="KPE-1",$H15="KP-2",$H15="KP-3",$H15="KPE-3",$H15="KP-7",$H15="KP-9",$H15="KPE-9"))</formula>
    </cfRule>
  </conditionalFormatting>
  <conditionalFormatting sqref="T15:U29">
    <cfRule type="expression" dxfId="568" priority="13">
      <formula>AND(OR($K15="00",ISBLANK($K15)),OR($H15="KP-1",$H15="KPE-1",$H15="KP-2",$H15="KP-3",$H15="KPE-3",$H15="KP-5",$H15="KP-6",$H15="KP-7",$H15="KP-8",$H15="KP-9",$H15="KPE-9",$H15="KP-10"))</formula>
    </cfRule>
    <cfRule type="expression" dxfId="567" priority="14">
      <formula>IF($K15="",OR($H15="KP-TypG",$H15="KP-11",$H15="KP-12",$H15="KP-TypH",$H15="KP-TypJ"),($H15="KP-TypG"))</formula>
    </cfRule>
    <cfRule type="expression" dxfId="566" priority="15">
      <formula>AND(NOT($K15="00"),NOT(ISBLANK($K15)),OR($H15="KP-5",$H15="KP-6",$H15="KP-8",$H15="KP-9",$H15="KPE-9",$H15="KP-10",$H15="KP-11",$H15="KP-12",$H15="KP-TypH",$H15="KP-TypJ"))</formula>
    </cfRule>
  </conditionalFormatting>
  <conditionalFormatting sqref="X15:AC29">
    <cfRule type="expression" dxfId="565" priority="4">
      <formula>OR($H15="KP-TypH",$H15="KP-TypJ")</formula>
    </cfRule>
    <cfRule type="expression" dxfId="564" priority="37">
      <formula>OR($H15="KP-1",$H15="KPE-1",$H15="KP-2",$H15="KP-3",$H15="KPE-3",$H15="KP-4",$H15="KP-5",$H15="KP-6",$H15="KP-7",$H15="KP-8",$H15="KP-9",$H15="KPE-9",$H15="KP-10",$H15="KP-11",$H15="KP-12",$H15="KP-TypG")</formula>
    </cfRule>
  </conditionalFormatting>
  <conditionalFormatting sqref="AH15:AH29">
    <cfRule type="expression" dxfId="563" priority="9">
      <formula>OR($H15="KP-TypG",$H15="KP-TypH",$H15="KP-TypJ")</formula>
    </cfRule>
    <cfRule type="expression" dxfId="562" priority="10">
      <formula>OR($H15="KP-1",$H15="KPE-1",$H15="KP-2",$H15="KP-3",$H15="KPE-3",$H15="KP-4",$H15="KP-5",$H15="KP-6",$H15="KP-7",$H15="KP-8",$H15="KP-9",$H15="KPE-9",$H15="KP-10",$H15="KP-11",$H15="KP-12")</formula>
    </cfRule>
  </conditionalFormatting>
  <conditionalFormatting sqref="AU15:AV29">
    <cfRule type="expression" dxfId="561" priority="1">
      <formula>AND(AH15&lt;T15*100+220,OR($H15="KP-1",$H15="KPE-1",$H15="KP-2",$H15="KP-3",$H15="KPE-3",$H15="KP-5",$H15="KP-7",$H15="KP-8",$H15="KP-9",$H15="KPE-9",$H15="KP-10"))</formula>
    </cfRule>
    <cfRule type="expression" dxfId="560" priority="28">
      <formula>OR($H15="KP-6",$H15="KP-11",$H15="KP-12",$H15="KP-TypG",$H15="KP-TypH",$H15="KP-TypJ")</formula>
    </cfRule>
    <cfRule type="expression" dxfId="559" priority="29">
      <formula>OR($H15="KP-1",$H15="KPE-1",$H15="KP-2",$H15="KP-3",$H15="KPE-3",$H15="KP-5",$H15="KP-7",$H15="KP-8",$H15="KP-9",$H15="KPE-9",$H15="KP-10")</formula>
    </cfRule>
  </conditionalFormatting>
  <conditionalFormatting sqref="AW15:AX29">
    <cfRule type="expression" dxfId="558" priority="30">
      <formula>OR($H15="KP-6",$H15="KP-TypH",$H15="KP-TypJ")</formula>
    </cfRule>
    <cfRule type="expression" dxfId="557" priority="31">
      <formula>OR($H15="KP-1",$H15="KPE-1",$H15="KP-2",$H15="KP-3",$H15="KPE-3",$H15="KP-5",$H15="KP-7",$H15="KP-8",$H15="KP-9",$H15="KPE-9",$H15="KP-10",$H15="KP-11",$H15="KP-12",$H15="KP-TypG")</formula>
    </cfRule>
  </conditionalFormatting>
  <conditionalFormatting sqref="AZ15:BC29">
    <cfRule type="expression" dxfId="556" priority="6">
      <formula>OR($H15="KP-TypB",$H15="KP-TypC",$H15="KP-TypD",$H15="KP-TypK")</formula>
    </cfRule>
    <cfRule type="expression" dxfId="555" priority="33">
      <formula>OR($H15="KP-1",$H15="KPE-1",$H15="KP-2",$H15="KP-3",$H15="KPE-3",$H15="KP-5",$H15="KP-6",$H15="KP-7",$H15="KP-8",$H15="KP-9",$H15="KPE-9",$H15="KP-10",$H15="KP-11",$H15="KP-12",$H15="KP-TypG",$H15="KP-TypH",$H15="KP-TypJ")</formula>
    </cfRule>
  </conditionalFormatting>
  <dataValidations xWindow="678" yWindow="793" count="17">
    <dataValidation type="list" allowBlank="1" showErrorMessage="1" promptTitle="Achtung! " prompt="Die Standardhöhe 140 mm ist nicht bei allen Produktfamilie erhätlich._x000a__x000a_Die Werte im Klammer sind nur für KP-800 und 1000 frei wählbar." sqref="V15:W29" xr:uid="{00000000-0002-0000-0000-000001000000}">
      <formula1>INDIRECT(BS15)</formula1>
    </dataValidation>
    <dataValidation type="list" allowBlank="1" showInputMessage="1" showErrorMessage="1" sqref="AU15:AV29" xr:uid="{00000000-0002-0000-0000-000002000000}">
      <formula1>INDIRECT(BW15)</formula1>
    </dataValidation>
    <dataValidation type="list" allowBlank="1" showInputMessage="1" showErrorMessage="1" sqref="K15:M29" xr:uid="{00000000-0002-0000-0000-000003000000}">
      <formula1>INDIRECT(BQ15)</formula1>
    </dataValidation>
    <dataValidation type="list" allowBlank="1" showInputMessage="1" showErrorMessage="1" sqref="AF15:AG29" xr:uid="{00000000-0002-0000-0000-000004000000}">
      <formula1>INDIRECT(BU15)</formula1>
    </dataValidation>
    <dataValidation type="list" allowBlank="1" showInputMessage="1" showErrorMessage="1" sqref="N15:N29" xr:uid="{00000000-0002-0000-0000-000005000000}">
      <formula1>INDIRECT(BR15)</formula1>
    </dataValidation>
    <dataValidation type="list" showInputMessage="1" showErrorMessage="1" sqref="O15:P29" xr:uid="{00000000-0002-0000-0000-00000C000000}">
      <formula1>IF(OR(K15="00",ISBLANK(K15)),INDIRECT(BY15),BZ15)</formula1>
    </dataValidation>
    <dataValidation type="list" showInputMessage="1" showErrorMessage="1" sqref="R15:S29" xr:uid="{00000000-0002-0000-0000-00000D000000}">
      <formula1>IF(OR(K15="00",ISBLANK(K15)),INDIRECT(CA15),CB15)</formula1>
    </dataValidation>
    <dataValidation type="list" showInputMessage="1" showErrorMessage="1" sqref="T15:U29" xr:uid="{00000000-0002-0000-0000-00000E000000}">
      <formula1>IF(OR(K15="00",ISBLANK(K15)),INDIRECT(CC15),CD15)</formula1>
    </dataValidation>
    <dataValidation allowBlank="1" showInputMessage="1" showErrorMessage="1" prompt="(nouvelle ligne avec Alt + Entrée)" sqref="AS9 AS5 AF9 T9:AE11 T5:AE7 AF5" xr:uid="{A14E8AD2-1C20-4419-B1CF-A11902A183C9}"/>
    <dataValidation type="list" allowBlank="1" showInputMessage="1" showErrorMessage="1" prompt="Pour le type ISO SW, la résistance au feu est automatiquement REI120. Avec le type ISO XPS, FG ou (PUR), la résistance au feu est automatiquement REI60. L’architecture et les dispositions en vigueur déterminent les exigences de protection incendie. " sqref="AD15:AE29" xr:uid="{B75BD5D7-F728-4E3C-94AA-E46339A3D756}">
      <formula1>INDIRECT(BT15)</formula1>
    </dataValidation>
    <dataValidation type="custom" showInputMessage="1" showErrorMessage="1" errorTitle="INDICATION NON VALABLE" error="L’introduction d’une valeur &quot;S11&quot; n’est possible que pour le type KP-700:_x000a_1. Epaisseur-ISO=60/100: 110≤S11≤430_x000a_2. Epaisseur-ISO=80/120: 100≤S11≤430" sqref="AK15:AL29" xr:uid="{2DCEA56F-2955-4816-9205-060FF9F88D29}">
      <formula1 xml:space="preserve"> AND(H15="KP-7",IF(OR(AF15=80,AF15=120),AND(AK15&gt;=100,AK15&lt;=430),AND(AK15&gt;=110,AK15&lt;=430)))</formula1>
    </dataValidation>
    <dataValidation type="custom" showInputMessage="1" showErrorMessage="1" errorTitle="INDICATION NON VALABLE" error="L’introduction d’une valeur &quot;S12&quot; n’est possible que pour le type KP-700:_x000a_1. Epaisseur-ISO=60/100: 110≤S12≤430_x000a_2. Epaisseur-ISO=80/120: 100≤S12≤430" sqref="AM15:AN29" xr:uid="{2CFBA6CB-5166-4463-9776-1A14C4FE1439}">
      <formula1 xml:space="preserve"> AND(H15="KP-7",IF(OR(AF15=80,AF15=120),AND(AM15&gt;=100,AM15&lt;=430),AND(AM15&gt;=110,AM15&lt;=430)))</formula1>
    </dataValidation>
    <dataValidation type="list" errorStyle="warning" allowBlank="1" showInputMessage="1" errorTitle="Zusatzkosten" promptTitle="Frais supplémentaires" prompt="La commande d’élément ebea KP dans la variante OQ (sans barres transversales) peut engendrer une plus-value de jusqu’à 30%." sqref="AW15:AX29" xr:uid="{1C15CDDB-9F9D-4229-A645-4B6596755421}">
      <formula1>INDIRECT(BX15)</formula1>
    </dataValidation>
    <dataValidation type="custom" operator="greaterThan" showInputMessage="1" showErrorMessage="1" errorTitle="INDICATION NON VALABLE" error="1. +IO≥ -10_x000a_2. D(Total) ne peut dépasser 440 mm (respectivement 470 mm pour les types KP-800 et KP-1000)._x000a_3. Avec les KP-TypeH et KP-TypeJ, aucun doublage n'est possible." sqref="Z15:AA29" xr:uid="{FBD5B797-93DE-47C9-A9A9-9A2877960F35}">
      <formula1>IF(OR($H15="KP-TypH",$H15="KP-TypJ"),"",IF(OR($H15="",$H15="KP-8",$H15="KP-10"),AND(V15+Z15+AB15&lt;=470,Z15&gt;=-10),AND(V15+Z15+AB15&lt;=440,Z15&gt;=-10)))</formula1>
    </dataValidation>
    <dataValidation type="custom" showInputMessage="1" showErrorMessage="1" errorTitle="INDICATION NON VALABLE" error="1. +IU≥ -10 (≥0 pour les types KP(E)-100, KP(E)-300, KP-1100)_x000a_2. D(Total) ne peut dépasser 440 mm (respectivement 470 mm pour les types KP-800 et KP-1000)._x000a_3. Avec les KP-TypeH / KP-TypeJ, aucun doublage n'est possible." sqref="AB15:AC29" xr:uid="{395F1118-E1B2-46FA-B384-125A69886B2D}">
      <formula1>IF(OR(H15="KP-TypH",H15="KP-TypJ"),"",IF(OR(H15="",H15="KP-8",H15="KP-10"),AND(V15+Z15+AB15&lt;=470,AB15&gt;=-10),IF(OR(H15="KP-1",H15="KPE-1",H15="KP-3",H15="KPE-3",H15="KP-11"),AND(V15+Z15+AB15&lt;=440,AB15&gt;=0),AND(V15+Z15+AB15&lt;=440,AB15&gt;=-10))))</formula1>
    </dataValidation>
    <dataValidation type="custom" showInputMessage="1" showErrorMessage="1" errorTitle="INDICATION NON VALABLE" error="Lmin ≤ L ≤ 1200 mm_x000a_KP-TypeG: L=300 mm_x000a_KP-TypeH: L=350 mm_x000a_KP-TypeJ: L=350 mm_x000a_" sqref="AH15:AH29" xr:uid="{40B6607F-E376-4C39-93F0-C4BC348888F4}">
      <formula1>IF($H15="KP-TypG",AH15=300,IF(OR($H15="KP-TypH",$H15="KP-TypJ"),AH15=350,(AND(AH15&gt;=AI15,AH15&lt;=1200))))</formula1>
    </dataValidation>
    <dataValidation type="whole" operator="greaterThanOrEqual" allowBlank="1" showInputMessage="1" showErrorMessage="1" errorTitle="NOMBRE DE PIÈCES" error="Seules des quantités entières sont disponibles." sqref="C15:D29 AY15:AY29" xr:uid="{BABEFE8F-1475-43DA-8A8E-0548127B6062}">
      <formula1>1</formula1>
    </dataValidation>
  </dataValidations>
  <printOptions horizontalCentered="1" verticalCentered="1"/>
  <pageMargins left="0.31496062992125984" right="0.31496062992125984" top="0.35433070866141736" bottom="0.35433070866141736" header="0.31496062992125984" footer="0"/>
  <pageSetup paperSize="9" scale="71" orientation="landscape" r:id="rId1"/>
  <colBreaks count="1" manualBreakCount="1">
    <brk id="66" max="123" man="1"/>
  </colBreaks>
  <drawing r:id="rId2"/>
  <legacyDrawing r:id="rId3"/>
  <extLst>
    <ext xmlns:x14="http://schemas.microsoft.com/office/spreadsheetml/2009/9/main" uri="{CCE6A557-97BC-4b89-ADB6-D9C93CAAB3DF}">
      <x14:dataValidations xmlns:xm="http://schemas.microsoft.com/office/excel/2006/main" xWindow="678" yWindow="793" count="1">
        <x14:dataValidation type="list" allowBlank="1" showErrorMessage="1" prompt="1-12" xr:uid="{00000000-0002-0000-0000-00000F000000}">
          <x14:formula1>
            <xm:f>'.'!$AO$7:$AO$28</xm:f>
          </x14:formula1>
          <xm:sqref>H15:J29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173"/>
  <sheetViews>
    <sheetView topLeftCell="A25" workbookViewId="0">
      <selection activeCell="AJ36" sqref="AJ36"/>
    </sheetView>
  </sheetViews>
  <sheetFormatPr baseColWidth="10" defaultColWidth="9.140625" defaultRowHeight="15" x14ac:dyDescent="0.25"/>
  <cols>
    <col min="1" max="1" width="2.7109375" customWidth="1"/>
    <col min="2" max="2" width="9.7109375" customWidth="1"/>
    <col min="3" max="3" width="2.7109375" customWidth="1"/>
    <col min="4" max="4" width="9.7109375" customWidth="1"/>
    <col min="5" max="5" width="2.7109375" customWidth="1"/>
    <col min="6" max="6" width="9.7109375" customWidth="1"/>
    <col min="7" max="7" width="2.7109375" customWidth="1"/>
    <col min="8" max="8" width="9.7109375" customWidth="1"/>
    <col min="9" max="9" width="2.7109375" customWidth="1"/>
    <col min="10" max="10" width="9.7109375" customWidth="1"/>
    <col min="11" max="11" width="2.7109375" customWidth="1"/>
    <col min="12" max="12" width="9.7109375" customWidth="1"/>
    <col min="13" max="13" width="2.7109375" customWidth="1"/>
    <col min="14" max="14" width="9.7109375" customWidth="1"/>
    <col min="15" max="15" width="2.7109375" customWidth="1"/>
    <col min="16" max="16" width="9.7109375" customWidth="1"/>
    <col min="17" max="17" width="2.7109375" customWidth="1"/>
    <col min="18" max="18" width="9.7109375" customWidth="1"/>
    <col min="19" max="19" width="2.7109375" customWidth="1"/>
    <col min="20" max="20" width="9.7109375" customWidth="1"/>
    <col min="21" max="21" width="2.7109375" customWidth="1"/>
    <col min="22" max="22" width="9.7109375" customWidth="1"/>
    <col min="23" max="23" width="2.7109375" customWidth="1"/>
    <col min="24" max="24" width="9.7109375" customWidth="1"/>
    <col min="25" max="25" width="2.7109375" customWidth="1"/>
    <col min="26" max="26" width="9.7109375" customWidth="1"/>
    <col min="27" max="27" width="2.7109375" customWidth="1"/>
    <col min="28" max="28" width="9.7109375" customWidth="1"/>
    <col min="29" max="29" width="2.7109375" customWidth="1"/>
    <col min="30" max="30" width="9.7109375" customWidth="1"/>
    <col min="31" max="31" width="2.7109375" customWidth="1"/>
    <col min="32" max="32" width="11" customWidth="1"/>
    <col min="33" max="33" width="2.7109375" customWidth="1"/>
    <col min="34" max="34" width="12.85546875" customWidth="1"/>
    <col min="35" max="35" width="2.7109375" customWidth="1"/>
    <col min="36" max="36" width="12.85546875" customWidth="1"/>
    <col min="37" max="37" width="2.7109375" customWidth="1"/>
    <col min="38" max="38" width="9.7109375" customWidth="1"/>
    <col min="39" max="39" width="2.7109375" customWidth="1"/>
    <col min="40" max="49" width="9.7109375" customWidth="1"/>
    <col min="53" max="53" width="11.140625" customWidth="1"/>
  </cols>
  <sheetData>
    <row r="1" spans="2:71" x14ac:dyDescent="0.25">
      <c r="T1" s="3"/>
      <c r="AK1" s="19"/>
      <c r="AL1" s="19"/>
      <c r="AM1" s="19"/>
      <c r="AN1" s="19"/>
      <c r="AO1" s="19"/>
      <c r="AP1" s="19"/>
      <c r="AQ1" s="19"/>
      <c r="AR1" s="19"/>
      <c r="AS1" s="19"/>
      <c r="AT1" s="19"/>
      <c r="AU1" s="19"/>
      <c r="AV1" s="19"/>
      <c r="AW1" s="19"/>
      <c r="AX1" s="19"/>
    </row>
    <row r="2" spans="2:71" ht="15" customHeight="1" x14ac:dyDescent="0.25">
      <c r="B2" s="496" t="s">
        <v>216</v>
      </c>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row>
    <row r="3" spans="2:71" ht="15" customHeight="1" x14ac:dyDescent="0.25">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row>
    <row r="4" spans="2:71" s="41" customFormat="1" ht="5.0999999999999996" customHeight="1" x14ac:dyDescent="0.25">
      <c r="B4" s="39"/>
      <c r="C4" s="39"/>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40"/>
      <c r="AV4" s="39"/>
      <c r="AW4" s="39"/>
      <c r="AX4" s="39"/>
    </row>
    <row r="5" spans="2:71" ht="15.75" x14ac:dyDescent="0.25">
      <c r="B5" s="490" t="s">
        <v>217</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2"/>
      <c r="AO5" s="494" t="s">
        <v>516</v>
      </c>
      <c r="AP5" s="497"/>
      <c r="AQ5" s="497"/>
      <c r="AR5" s="497"/>
      <c r="AS5" s="497"/>
      <c r="AT5" s="497"/>
      <c r="AU5" s="497"/>
      <c r="AV5" s="497"/>
      <c r="AW5" s="497"/>
      <c r="AX5" s="497"/>
      <c r="AY5" s="495"/>
      <c r="BA5" s="494" t="s">
        <v>516</v>
      </c>
      <c r="BB5" s="495"/>
      <c r="BD5" s="494" t="s">
        <v>516</v>
      </c>
      <c r="BE5" s="495"/>
      <c r="BH5" s="19"/>
      <c r="BI5" s="19"/>
      <c r="BJ5" s="19"/>
      <c r="BK5" s="19"/>
      <c r="BL5" s="19"/>
      <c r="BM5" s="19"/>
      <c r="BN5" s="19"/>
    </row>
    <row r="6" spans="2:71" x14ac:dyDescent="0.25">
      <c r="B6" s="2" t="s">
        <v>51</v>
      </c>
      <c r="C6" s="2"/>
      <c r="D6" s="2" t="s">
        <v>52</v>
      </c>
      <c r="E6" s="2"/>
      <c r="F6" s="2" t="s">
        <v>53</v>
      </c>
      <c r="G6" s="2"/>
      <c r="H6" s="2" t="s">
        <v>54</v>
      </c>
      <c r="I6" s="2"/>
      <c r="J6" s="2" t="s">
        <v>55</v>
      </c>
      <c r="K6" s="2"/>
      <c r="L6" s="2" t="s">
        <v>56</v>
      </c>
      <c r="M6" s="2"/>
      <c r="N6" s="2" t="s">
        <v>57</v>
      </c>
      <c r="O6" s="2"/>
      <c r="P6" s="2" t="s">
        <v>58</v>
      </c>
      <c r="Q6" s="2"/>
      <c r="R6" s="2" t="s">
        <v>59</v>
      </c>
      <c r="S6" s="2"/>
      <c r="T6" s="2" t="s">
        <v>60</v>
      </c>
      <c r="U6" s="2"/>
      <c r="V6" s="2" t="s">
        <v>61</v>
      </c>
      <c r="W6" s="2"/>
      <c r="X6" s="2" t="s">
        <v>62</v>
      </c>
      <c r="Y6" s="2"/>
      <c r="Z6" s="2" t="s">
        <v>63</v>
      </c>
      <c r="AA6" s="2"/>
      <c r="AB6" s="2" t="s">
        <v>64</v>
      </c>
      <c r="AC6" s="2"/>
      <c r="AD6" s="2" t="s">
        <v>65</v>
      </c>
      <c r="AE6" s="2"/>
      <c r="AF6" s="11" t="s">
        <v>482</v>
      </c>
      <c r="AG6" s="11"/>
      <c r="AH6" s="2" t="s">
        <v>483</v>
      </c>
      <c r="AI6" s="11"/>
      <c r="AJ6" s="11"/>
      <c r="AK6" s="2"/>
      <c r="AM6" s="2"/>
      <c r="AO6" s="48" t="s">
        <v>376</v>
      </c>
      <c r="AP6" s="52">
        <v>1</v>
      </c>
      <c r="AQ6" s="53">
        <v>2</v>
      </c>
      <c r="AR6" s="53">
        <v>3</v>
      </c>
      <c r="AS6" s="53">
        <v>4</v>
      </c>
      <c r="AT6" s="53">
        <v>5</v>
      </c>
      <c r="AU6" s="53">
        <v>6</v>
      </c>
      <c r="AV6" s="53">
        <v>7</v>
      </c>
      <c r="AW6" s="53" t="s">
        <v>178</v>
      </c>
      <c r="AX6" s="53" t="s">
        <v>239</v>
      </c>
      <c r="AY6" s="53" t="s">
        <v>22</v>
      </c>
      <c r="BA6" s="48" t="s">
        <v>244</v>
      </c>
      <c r="BB6" s="56" t="s">
        <v>23</v>
      </c>
      <c r="BD6" s="201" t="s">
        <v>244</v>
      </c>
      <c r="BE6" s="56" t="s">
        <v>471</v>
      </c>
      <c r="BH6" s="19"/>
      <c r="BI6" s="19"/>
      <c r="BJ6" s="19"/>
      <c r="BK6" s="19"/>
      <c r="BL6" s="19"/>
      <c r="BM6" s="19"/>
      <c r="BN6" s="19"/>
    </row>
    <row r="7" spans="2:71" s="19" customFormat="1" x14ac:dyDescent="0.25">
      <c r="B7" s="2" t="s">
        <v>13</v>
      </c>
      <c r="C7" s="2"/>
      <c r="D7" s="2" t="s">
        <v>13</v>
      </c>
      <c r="E7" s="2"/>
      <c r="F7" s="2" t="s">
        <v>13</v>
      </c>
      <c r="G7" s="2"/>
      <c r="H7" s="2" t="s">
        <v>13</v>
      </c>
      <c r="I7" s="2"/>
      <c r="J7" s="2" t="s">
        <v>13</v>
      </c>
      <c r="K7" s="2"/>
      <c r="L7" s="2" t="s">
        <v>13</v>
      </c>
      <c r="M7" s="2"/>
      <c r="N7" s="2" t="s">
        <v>13</v>
      </c>
      <c r="O7" s="2"/>
      <c r="P7" s="2" t="s">
        <v>13</v>
      </c>
      <c r="Q7" s="2"/>
      <c r="R7" s="2" t="s">
        <v>13</v>
      </c>
      <c r="S7" s="2"/>
      <c r="T7" s="2" t="s">
        <v>13</v>
      </c>
      <c r="U7" s="2"/>
      <c r="V7" s="2" t="s">
        <v>13</v>
      </c>
      <c r="W7" s="2"/>
      <c r="X7" s="2" t="s">
        <v>13</v>
      </c>
      <c r="Y7" s="2"/>
      <c r="Z7" s="2" t="s">
        <v>14</v>
      </c>
      <c r="AA7" s="2"/>
      <c r="AB7" s="2" t="s">
        <v>14</v>
      </c>
      <c r="AC7" s="2"/>
      <c r="AD7" s="2" t="s">
        <v>14</v>
      </c>
      <c r="AE7" s="2"/>
      <c r="AF7" s="2" t="s">
        <v>484</v>
      </c>
      <c r="AG7" s="2"/>
      <c r="AH7" s="2" t="s">
        <v>484</v>
      </c>
      <c r="AI7" s="2"/>
      <c r="AJ7" s="2"/>
      <c r="AK7" s="2"/>
      <c r="AM7" s="2"/>
      <c r="AO7" s="49"/>
      <c r="AP7" s="33" t="s">
        <v>164</v>
      </c>
      <c r="AQ7" s="36" t="s">
        <v>164</v>
      </c>
      <c r="AR7" s="36" t="s">
        <v>174</v>
      </c>
      <c r="AS7" s="36" t="s">
        <v>176</v>
      </c>
      <c r="AT7" s="36" t="s">
        <v>175</v>
      </c>
      <c r="AU7" s="36" t="s">
        <v>177</v>
      </c>
      <c r="AV7" s="36" t="s">
        <v>164</v>
      </c>
      <c r="AW7" s="36" t="s">
        <v>164</v>
      </c>
      <c r="AX7" s="33" t="s">
        <v>164</v>
      </c>
      <c r="AY7" s="36" t="s">
        <v>164</v>
      </c>
      <c r="BA7" s="49" t="s">
        <v>236</v>
      </c>
      <c r="BB7" s="25" t="s">
        <v>227</v>
      </c>
      <c r="BD7" s="49" t="s">
        <v>236</v>
      </c>
      <c r="BE7" s="25" t="s">
        <v>229</v>
      </c>
    </row>
    <row r="8" spans="2:71" s="19" customFormat="1" x14ac:dyDescent="0.25">
      <c r="B8" s="2"/>
      <c r="C8" s="2"/>
      <c r="D8" s="2"/>
      <c r="E8" s="2"/>
      <c r="F8" s="2"/>
      <c r="G8" s="2"/>
      <c r="H8" s="2"/>
      <c r="I8" s="2"/>
      <c r="J8" s="2"/>
      <c r="K8" s="2"/>
      <c r="L8" s="2" t="s">
        <v>14</v>
      </c>
      <c r="M8" s="2"/>
      <c r="N8" s="2" t="s">
        <v>14</v>
      </c>
      <c r="O8" s="2"/>
      <c r="P8" s="2"/>
      <c r="Q8" s="2"/>
      <c r="R8" s="2" t="s">
        <v>14</v>
      </c>
      <c r="S8" s="2"/>
      <c r="T8" s="2" t="s">
        <v>14</v>
      </c>
      <c r="U8" s="2"/>
      <c r="V8" s="2" t="s">
        <v>14</v>
      </c>
      <c r="W8" s="2"/>
      <c r="X8" s="2" t="s">
        <v>14</v>
      </c>
      <c r="Y8" s="2"/>
      <c r="Z8" s="2" t="s">
        <v>15</v>
      </c>
      <c r="AA8" s="2"/>
      <c r="AB8" s="2" t="s">
        <v>15</v>
      </c>
      <c r="AC8" s="2"/>
      <c r="AD8" s="2" t="s">
        <v>15</v>
      </c>
      <c r="AE8" s="2"/>
      <c r="AF8" s="2" t="s">
        <v>485</v>
      </c>
      <c r="AG8" s="2"/>
      <c r="AH8" s="2" t="s">
        <v>485</v>
      </c>
      <c r="AI8" s="2"/>
      <c r="AJ8" s="2"/>
      <c r="AK8" s="2"/>
      <c r="AM8" s="2"/>
      <c r="AO8" s="50" t="s">
        <v>33</v>
      </c>
      <c r="AP8" s="34" t="s">
        <v>51</v>
      </c>
      <c r="AQ8" s="25" t="s">
        <v>179</v>
      </c>
      <c r="AR8" s="25" t="s">
        <v>81</v>
      </c>
      <c r="AS8" s="25" t="s">
        <v>114</v>
      </c>
      <c r="AT8" s="25" t="s">
        <v>99</v>
      </c>
      <c r="AU8" s="25" t="s">
        <v>137</v>
      </c>
      <c r="AV8" s="25" t="s">
        <v>152</v>
      </c>
      <c r="AW8" s="25" t="s">
        <v>194</v>
      </c>
      <c r="AX8" s="34" t="s">
        <v>246</v>
      </c>
      <c r="AY8" s="25" t="s">
        <v>260</v>
      </c>
      <c r="BA8" s="50" t="s">
        <v>276</v>
      </c>
      <c r="BB8" s="25" t="s">
        <v>228</v>
      </c>
      <c r="BD8" s="50" t="s">
        <v>276</v>
      </c>
      <c r="BE8" s="25" t="s">
        <v>230</v>
      </c>
      <c r="BM8"/>
    </row>
    <row r="9" spans="2:71" s="19" customFormat="1" x14ac:dyDescent="0.25">
      <c r="B9" s="2"/>
      <c r="C9" s="2"/>
      <c r="D9" s="2"/>
      <c r="E9" s="2"/>
      <c r="F9" s="2"/>
      <c r="G9" s="2"/>
      <c r="H9" s="2"/>
      <c r="I9" s="2"/>
      <c r="J9" s="2"/>
      <c r="K9" s="2"/>
      <c r="L9" s="2" t="s">
        <v>15</v>
      </c>
      <c r="M9" s="2"/>
      <c r="N9" s="2" t="s">
        <v>15</v>
      </c>
      <c r="O9" s="2"/>
      <c r="P9" s="2"/>
      <c r="Q9" s="2"/>
      <c r="R9" s="2" t="s">
        <v>15</v>
      </c>
      <c r="S9" s="2"/>
      <c r="T9" s="2" t="s">
        <v>15</v>
      </c>
      <c r="U9" s="2"/>
      <c r="V9" s="2" t="s">
        <v>15</v>
      </c>
      <c r="W9" s="2"/>
      <c r="X9" s="2" t="s">
        <v>15</v>
      </c>
      <c r="Y9" s="2"/>
      <c r="Z9" s="2" t="s">
        <v>16</v>
      </c>
      <c r="AA9" s="2"/>
      <c r="AB9" s="2" t="s">
        <v>16</v>
      </c>
      <c r="AC9" s="2"/>
      <c r="AD9" s="2"/>
      <c r="AE9" s="2"/>
      <c r="AF9" s="2" t="s">
        <v>486</v>
      </c>
      <c r="AG9" s="2"/>
      <c r="AH9" s="2" t="s">
        <v>486</v>
      </c>
      <c r="AI9" s="2"/>
      <c r="AJ9" s="2"/>
      <c r="AK9" s="2"/>
      <c r="AM9" s="2"/>
      <c r="AO9" s="50" t="s">
        <v>34</v>
      </c>
      <c r="AP9" s="34" t="s">
        <v>52</v>
      </c>
      <c r="AQ9" s="25" t="s">
        <v>180</v>
      </c>
      <c r="AR9" s="25" t="s">
        <v>82</v>
      </c>
      <c r="AS9" s="25" t="s">
        <v>115</v>
      </c>
      <c r="AT9" s="25" t="s">
        <v>101</v>
      </c>
      <c r="AU9" s="25" t="s">
        <v>139</v>
      </c>
      <c r="AV9" s="25" t="s">
        <v>153</v>
      </c>
      <c r="AW9" s="25" t="s">
        <v>195</v>
      </c>
      <c r="AX9" s="34" t="s">
        <v>245</v>
      </c>
      <c r="AY9" s="25" t="s">
        <v>261</v>
      </c>
      <c r="BA9" s="50" t="s">
        <v>237</v>
      </c>
      <c r="BB9" s="25" t="s">
        <v>229</v>
      </c>
      <c r="BD9" s="50" t="s">
        <v>237</v>
      </c>
      <c r="BE9" s="25" t="s">
        <v>231</v>
      </c>
      <c r="BM9"/>
    </row>
    <row r="10" spans="2:71" s="19" customFormat="1" x14ac:dyDescent="0.25">
      <c r="B10" s="2"/>
      <c r="C10" s="2"/>
      <c r="D10" s="2"/>
      <c r="E10" s="2"/>
      <c r="F10" s="2"/>
      <c r="G10" s="2"/>
      <c r="H10" s="2"/>
      <c r="I10" s="2"/>
      <c r="J10" s="2"/>
      <c r="K10" s="2"/>
      <c r="L10" s="2" t="s">
        <v>16</v>
      </c>
      <c r="M10" s="2"/>
      <c r="N10" s="2" t="s">
        <v>16</v>
      </c>
      <c r="O10" s="2"/>
      <c r="P10" s="2"/>
      <c r="Q10" s="2"/>
      <c r="R10" s="2" t="s">
        <v>16</v>
      </c>
      <c r="S10" s="2"/>
      <c r="T10" s="2" t="s">
        <v>16</v>
      </c>
      <c r="U10" s="2"/>
      <c r="V10" s="2" t="s">
        <v>16</v>
      </c>
      <c r="W10" s="2"/>
      <c r="X10" s="2" t="s">
        <v>16</v>
      </c>
      <c r="Y10" s="2"/>
      <c r="Z10" s="2" t="s">
        <v>17</v>
      </c>
      <c r="AA10" s="2"/>
      <c r="AB10" s="2" t="s">
        <v>17</v>
      </c>
      <c r="AC10" s="2"/>
      <c r="AD10" s="2"/>
      <c r="AE10" s="2"/>
      <c r="AF10" s="2" t="s">
        <v>487</v>
      </c>
      <c r="AG10" s="2"/>
      <c r="AH10" s="2" t="s">
        <v>487</v>
      </c>
      <c r="AI10" s="2"/>
      <c r="AJ10" s="2"/>
      <c r="AK10" s="2"/>
      <c r="AM10" s="2"/>
      <c r="AO10" s="50" t="s">
        <v>35</v>
      </c>
      <c r="AP10" s="34" t="s">
        <v>53</v>
      </c>
      <c r="AQ10" s="25" t="s">
        <v>181</v>
      </c>
      <c r="AR10" s="25" t="s">
        <v>83</v>
      </c>
      <c r="AS10" s="25" t="s">
        <v>116</v>
      </c>
      <c r="AT10" s="25" t="s">
        <v>100</v>
      </c>
      <c r="AU10" s="25" t="s">
        <v>138</v>
      </c>
      <c r="AV10" s="25" t="s">
        <v>154</v>
      </c>
      <c r="AW10" s="25" t="s">
        <v>196</v>
      </c>
      <c r="AX10" s="34" t="s">
        <v>247</v>
      </c>
      <c r="AY10" s="25" t="s">
        <v>262</v>
      </c>
      <c r="BA10" s="50" t="s">
        <v>28</v>
      </c>
      <c r="BB10" s="25" t="s">
        <v>230</v>
      </c>
      <c r="BD10" s="50" t="s">
        <v>28</v>
      </c>
      <c r="BE10" s="25" t="s">
        <v>232</v>
      </c>
      <c r="BM10"/>
    </row>
    <row r="11" spans="2:71" s="19" customFormat="1" x14ac:dyDescent="0.25">
      <c r="B11" s="2"/>
      <c r="C11" s="2"/>
      <c r="D11" s="2"/>
      <c r="E11" s="2"/>
      <c r="F11" s="2"/>
      <c r="G11" s="2"/>
      <c r="H11" s="2"/>
      <c r="I11" s="2"/>
      <c r="J11" s="2"/>
      <c r="K11" s="2"/>
      <c r="L11" s="2" t="s">
        <v>17</v>
      </c>
      <c r="M11" s="2"/>
      <c r="N11" s="2" t="s">
        <v>17</v>
      </c>
      <c r="O11" s="2"/>
      <c r="P11" s="2"/>
      <c r="Q11" s="2"/>
      <c r="R11" s="2" t="s">
        <v>17</v>
      </c>
      <c r="S11" s="2"/>
      <c r="T11" s="2" t="s">
        <v>17</v>
      </c>
      <c r="U11" s="2"/>
      <c r="V11" s="2" t="s">
        <v>17</v>
      </c>
      <c r="W11" s="2"/>
      <c r="X11" s="2" t="s">
        <v>17</v>
      </c>
      <c r="Y11" s="2"/>
      <c r="Z11" s="2" t="s">
        <v>18</v>
      </c>
      <c r="AA11" s="2"/>
      <c r="AB11" s="2" t="s">
        <v>18</v>
      </c>
      <c r="AC11" s="2"/>
      <c r="AD11" s="2"/>
      <c r="AE11" s="2"/>
      <c r="AF11" s="70"/>
      <c r="AG11" s="70"/>
      <c r="AH11" s="70"/>
      <c r="AI11" s="70"/>
      <c r="AJ11" s="70"/>
      <c r="AL11" s="4"/>
      <c r="AM11" s="2"/>
      <c r="AO11" s="50" t="s">
        <v>36</v>
      </c>
      <c r="AP11" s="34" t="s">
        <v>54</v>
      </c>
      <c r="AQ11" s="25" t="s">
        <v>164</v>
      </c>
      <c r="AR11" s="25" t="s">
        <v>84</v>
      </c>
      <c r="AS11" s="25" t="s">
        <v>117</v>
      </c>
      <c r="AT11" s="25" t="s">
        <v>102</v>
      </c>
      <c r="AU11" s="25" t="s">
        <v>140</v>
      </c>
      <c r="AV11" s="25" t="s">
        <v>155</v>
      </c>
      <c r="AW11" s="25" t="s">
        <v>197</v>
      </c>
      <c r="AX11" s="34" t="s">
        <v>248</v>
      </c>
      <c r="AY11" s="25" t="s">
        <v>263</v>
      </c>
      <c r="BA11" s="50" t="s">
        <v>238</v>
      </c>
      <c r="BB11" s="25" t="s">
        <v>231</v>
      </c>
      <c r="BD11" s="50" t="s">
        <v>238</v>
      </c>
      <c r="BE11" s="25" t="s">
        <v>233</v>
      </c>
    </row>
    <row r="12" spans="2:71" s="19" customFormat="1" x14ac:dyDescent="0.25">
      <c r="B12" s="2"/>
      <c r="C12" s="2"/>
      <c r="D12" s="2"/>
      <c r="E12" s="2"/>
      <c r="F12" s="2"/>
      <c r="G12" s="2"/>
      <c r="H12" s="2"/>
      <c r="I12" s="2"/>
      <c r="J12" s="2"/>
      <c r="K12" s="2"/>
      <c r="L12" s="2" t="s">
        <v>18</v>
      </c>
      <c r="M12" s="2"/>
      <c r="N12" s="2" t="s">
        <v>18</v>
      </c>
      <c r="O12" s="2"/>
      <c r="P12" s="2"/>
      <c r="Q12" s="2"/>
      <c r="R12" s="2" t="s">
        <v>18</v>
      </c>
      <c r="S12" s="2"/>
      <c r="T12" s="2" t="s">
        <v>18</v>
      </c>
      <c r="U12" s="2"/>
      <c r="V12" s="2" t="s">
        <v>18</v>
      </c>
      <c r="W12" s="2"/>
      <c r="X12" s="2" t="s">
        <v>18</v>
      </c>
      <c r="Y12" s="2"/>
      <c r="Z12" s="2" t="s">
        <v>19</v>
      </c>
      <c r="AA12" s="2"/>
      <c r="AB12" s="2" t="s">
        <v>19</v>
      </c>
      <c r="AC12" s="2"/>
      <c r="AD12" s="2"/>
      <c r="AE12" s="2"/>
      <c r="AG12" s="70"/>
      <c r="AH12" s="70"/>
      <c r="AI12" s="70"/>
      <c r="AJ12" s="70"/>
      <c r="AL12" s="4"/>
      <c r="AM12" s="2"/>
      <c r="AO12" s="50" t="s">
        <v>37</v>
      </c>
      <c r="AP12" s="34" t="s">
        <v>55</v>
      </c>
      <c r="AQ12" s="25" t="s">
        <v>164</v>
      </c>
      <c r="AR12" s="25" t="s">
        <v>85</v>
      </c>
      <c r="AS12" s="25" t="s">
        <v>118</v>
      </c>
      <c r="AT12" s="25" t="s">
        <v>103</v>
      </c>
      <c r="AU12" s="25" t="s">
        <v>141</v>
      </c>
      <c r="AV12" s="25" t="s">
        <v>156</v>
      </c>
      <c r="AW12" s="25" t="s">
        <v>198</v>
      </c>
      <c r="AX12" s="34" t="s">
        <v>249</v>
      </c>
      <c r="AY12" s="25" t="s">
        <v>264</v>
      </c>
      <c r="BA12" s="50" t="s">
        <v>10</v>
      </c>
      <c r="BB12" s="25" t="s">
        <v>232</v>
      </c>
      <c r="BD12" s="50" t="s">
        <v>10</v>
      </c>
      <c r="BE12" s="25" t="s">
        <v>234</v>
      </c>
    </row>
    <row r="13" spans="2:71" s="19" customFormat="1" x14ac:dyDescent="0.25">
      <c r="B13" s="2"/>
      <c r="C13" s="2"/>
      <c r="D13" s="2"/>
      <c r="E13" s="2"/>
      <c r="F13" s="2"/>
      <c r="G13" s="2"/>
      <c r="H13" s="2"/>
      <c r="I13" s="2"/>
      <c r="J13" s="2"/>
      <c r="K13" s="2"/>
      <c r="L13" s="2" t="s">
        <v>19</v>
      </c>
      <c r="M13" s="2"/>
      <c r="N13" s="2" t="s">
        <v>19</v>
      </c>
      <c r="O13" s="2"/>
      <c r="P13" s="2"/>
      <c r="Q13" s="2"/>
      <c r="R13" s="2" t="s">
        <v>19</v>
      </c>
      <c r="S13" s="2"/>
      <c r="T13" s="2"/>
      <c r="U13" s="2"/>
      <c r="V13" s="2"/>
      <c r="W13" s="2"/>
      <c r="X13" s="2" t="s">
        <v>19</v>
      </c>
      <c r="Y13" s="2"/>
      <c r="Z13" s="2" t="s">
        <v>20</v>
      </c>
      <c r="AA13" s="2"/>
      <c r="AB13" s="2" t="s">
        <v>20</v>
      </c>
      <c r="AC13" s="2"/>
      <c r="AD13" s="2"/>
      <c r="AE13" s="2"/>
      <c r="AF13" s="70"/>
      <c r="AG13" s="70"/>
      <c r="AH13" s="70"/>
      <c r="AI13" s="70"/>
      <c r="AJ13" s="70"/>
      <c r="AL13" s="4"/>
      <c r="AM13" s="2"/>
      <c r="AO13" s="50" t="s">
        <v>38</v>
      </c>
      <c r="AP13" s="34" t="s">
        <v>56</v>
      </c>
      <c r="AQ13" s="25" t="s">
        <v>184</v>
      </c>
      <c r="AR13" s="25" t="s">
        <v>86</v>
      </c>
      <c r="AS13" s="25" t="s">
        <v>119</v>
      </c>
      <c r="AT13" s="25" t="s">
        <v>104</v>
      </c>
      <c r="AU13" s="25" t="s">
        <v>142</v>
      </c>
      <c r="AV13" s="25" t="s">
        <v>157</v>
      </c>
      <c r="AW13" s="25" t="s">
        <v>199</v>
      </c>
      <c r="AX13" s="34" t="s">
        <v>164</v>
      </c>
      <c r="AY13" s="25" t="s">
        <v>164</v>
      </c>
      <c r="BA13" s="50" t="s">
        <v>178</v>
      </c>
      <c r="BB13" s="25" t="s">
        <v>233</v>
      </c>
      <c r="BD13" s="50" t="s">
        <v>178</v>
      </c>
      <c r="BE13" s="25" t="s">
        <v>235</v>
      </c>
      <c r="BS13"/>
    </row>
    <row r="14" spans="2:71" s="19" customFormat="1" x14ac:dyDescent="0.25">
      <c r="B14" s="2"/>
      <c r="C14" s="2"/>
      <c r="D14" s="2"/>
      <c r="E14" s="2"/>
      <c r="F14" s="2"/>
      <c r="G14" s="2"/>
      <c r="H14" s="2"/>
      <c r="I14" s="2"/>
      <c r="J14" s="2"/>
      <c r="K14" s="2"/>
      <c r="L14" s="2" t="s">
        <v>20</v>
      </c>
      <c r="M14" s="2"/>
      <c r="N14" s="2"/>
      <c r="O14" s="2"/>
      <c r="P14" s="2"/>
      <c r="Q14" s="2"/>
      <c r="R14" s="2"/>
      <c r="S14" s="2"/>
      <c r="T14" s="2"/>
      <c r="U14" s="2"/>
      <c r="V14" s="2"/>
      <c r="W14" s="2"/>
      <c r="X14" s="2"/>
      <c r="Y14" s="2"/>
      <c r="Z14" s="2" t="s">
        <v>21</v>
      </c>
      <c r="AA14" s="2"/>
      <c r="AB14" s="2" t="s">
        <v>21</v>
      </c>
      <c r="AC14" s="2"/>
      <c r="AD14" s="2"/>
      <c r="AE14" s="2"/>
      <c r="AF14" s="70"/>
      <c r="AG14" s="70"/>
      <c r="AH14" s="70"/>
      <c r="AI14" s="70"/>
      <c r="AJ14" s="70"/>
      <c r="AL14" s="4"/>
      <c r="AM14" s="2"/>
      <c r="AO14" s="50" t="s">
        <v>39</v>
      </c>
      <c r="AP14" s="34" t="s">
        <v>57</v>
      </c>
      <c r="AQ14" s="25" t="s">
        <v>185</v>
      </c>
      <c r="AR14" s="25" t="s">
        <v>87</v>
      </c>
      <c r="AS14" s="25" t="s">
        <v>120</v>
      </c>
      <c r="AT14" s="25" t="s">
        <v>105</v>
      </c>
      <c r="AU14" s="25" t="s">
        <v>143</v>
      </c>
      <c r="AV14" s="25" t="s">
        <v>164</v>
      </c>
      <c r="AW14" s="25" t="s">
        <v>164</v>
      </c>
      <c r="AX14" s="34" t="s">
        <v>164</v>
      </c>
      <c r="AY14" s="25" t="s">
        <v>164</v>
      </c>
      <c r="BA14" s="50" t="s">
        <v>239</v>
      </c>
      <c r="BB14" s="25" t="s">
        <v>234</v>
      </c>
      <c r="BD14" s="50" t="s">
        <v>239</v>
      </c>
      <c r="BE14" s="25" t="s">
        <v>240</v>
      </c>
      <c r="BH14"/>
      <c r="BI14"/>
      <c r="BJ14"/>
      <c r="BK14"/>
      <c r="BL14"/>
      <c r="BM14"/>
      <c r="BN14"/>
    </row>
    <row r="15" spans="2:71" s="19" customFormat="1" x14ac:dyDescent="0.25">
      <c r="B15" s="2"/>
      <c r="C15" s="2"/>
      <c r="D15" s="2"/>
      <c r="E15" s="2"/>
      <c r="F15" s="2"/>
      <c r="G15" s="2"/>
      <c r="H15" s="2"/>
      <c r="I15" s="2"/>
      <c r="J15" s="2"/>
      <c r="K15" s="2"/>
      <c r="L15" s="2"/>
      <c r="M15" s="2"/>
      <c r="N15" s="2"/>
      <c r="O15" s="2"/>
      <c r="P15" s="2"/>
      <c r="Q15" s="2"/>
      <c r="R15" s="2"/>
      <c r="S15" s="2"/>
      <c r="T15" s="2"/>
      <c r="U15" s="2"/>
      <c r="V15" s="2"/>
      <c r="W15" s="2"/>
      <c r="X15" s="2"/>
      <c r="Y15" s="2"/>
      <c r="Z15" s="43"/>
      <c r="AA15" s="2"/>
      <c r="AB15" s="2"/>
      <c r="AC15" s="2"/>
      <c r="AD15" s="2"/>
      <c r="AE15" s="2"/>
      <c r="AG15" s="70"/>
      <c r="AH15" s="70"/>
      <c r="AI15" s="70"/>
      <c r="AJ15" s="70"/>
      <c r="AL15" s="4"/>
      <c r="AM15" s="2"/>
      <c r="AO15" s="50" t="s">
        <v>40</v>
      </c>
      <c r="AP15" s="34" t="s">
        <v>58</v>
      </c>
      <c r="AQ15" s="25" t="s">
        <v>186</v>
      </c>
      <c r="AR15" s="25" t="s">
        <v>88</v>
      </c>
      <c r="AS15" s="25" t="s">
        <v>121</v>
      </c>
      <c r="AT15" s="25" t="s">
        <v>106</v>
      </c>
      <c r="AU15" s="25" t="s">
        <v>144</v>
      </c>
      <c r="AV15" s="25" t="s">
        <v>159</v>
      </c>
      <c r="AW15" s="25" t="s">
        <v>201</v>
      </c>
      <c r="AX15" s="34" t="s">
        <v>252</v>
      </c>
      <c r="AY15" s="25" t="s">
        <v>267</v>
      </c>
      <c r="BA15" s="51" t="s">
        <v>22</v>
      </c>
      <c r="BB15" s="37" t="s">
        <v>235</v>
      </c>
      <c r="BD15" s="51" t="s">
        <v>22</v>
      </c>
      <c r="BE15" s="37" t="s">
        <v>240</v>
      </c>
      <c r="BH15"/>
      <c r="BI15"/>
      <c r="BJ15"/>
      <c r="BK15"/>
      <c r="BL15"/>
      <c r="BM15"/>
      <c r="BN15"/>
    </row>
    <row r="16" spans="2:71" s="19" customFormat="1"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G16" s="70"/>
      <c r="AH16" s="70"/>
      <c r="AI16" s="70"/>
      <c r="AJ16" s="70"/>
      <c r="AL16" s="4"/>
      <c r="AM16" s="2"/>
      <c r="AO16" s="50" t="s">
        <v>41</v>
      </c>
      <c r="AP16" s="34" t="s">
        <v>59</v>
      </c>
      <c r="AQ16" s="25" t="s">
        <v>187</v>
      </c>
      <c r="AR16" s="25" t="s">
        <v>89</v>
      </c>
      <c r="AS16" s="25" t="s">
        <v>122</v>
      </c>
      <c r="AT16" s="25" t="s">
        <v>107</v>
      </c>
      <c r="AU16" s="25" t="s">
        <v>145</v>
      </c>
      <c r="AV16" s="25" t="s">
        <v>160</v>
      </c>
      <c r="AW16" s="25" t="s">
        <v>202</v>
      </c>
      <c r="AX16" s="34" t="s">
        <v>164</v>
      </c>
      <c r="AY16" s="25" t="s">
        <v>164</v>
      </c>
      <c r="BA16" s="34"/>
      <c r="BB16" s="34"/>
      <c r="BC16" s="34"/>
      <c r="BH16"/>
      <c r="BI16"/>
      <c r="BJ16"/>
      <c r="BK16"/>
      <c r="BL16"/>
      <c r="BM16"/>
      <c r="BN16"/>
    </row>
    <row r="17" spans="2:71" s="19" customFormat="1" ht="15.75" x14ac:dyDescent="0.25">
      <c r="B17" s="490" t="s">
        <v>218</v>
      </c>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2"/>
      <c r="AO17" s="50" t="s">
        <v>42</v>
      </c>
      <c r="AP17" s="34" t="s">
        <v>60</v>
      </c>
      <c r="AQ17" s="25" t="s">
        <v>188</v>
      </c>
      <c r="AR17" s="25" t="s">
        <v>90</v>
      </c>
      <c r="AS17" s="25" t="s">
        <v>123</v>
      </c>
      <c r="AT17" s="25" t="s">
        <v>108</v>
      </c>
      <c r="AU17" s="25" t="s">
        <v>146</v>
      </c>
      <c r="AV17" s="25" t="s">
        <v>161</v>
      </c>
      <c r="AW17" s="25" t="s">
        <v>203</v>
      </c>
      <c r="AX17" s="34" t="s">
        <v>254</v>
      </c>
      <c r="AY17" s="25" t="s">
        <v>269</v>
      </c>
      <c r="BA17" s="34"/>
      <c r="BB17" s="34"/>
      <c r="BC17" s="34"/>
      <c r="BH17"/>
      <c r="BI17"/>
      <c r="BJ17"/>
      <c r="BK17"/>
      <c r="BL17"/>
      <c r="BM17"/>
      <c r="BN17"/>
    </row>
    <row r="18" spans="2:71" s="19" customFormat="1" x14ac:dyDescent="0.25">
      <c r="B18" s="2" t="s">
        <v>179</v>
      </c>
      <c r="D18" s="2" t="s">
        <v>180</v>
      </c>
      <c r="F18" s="2" t="s">
        <v>181</v>
      </c>
      <c r="H18" s="2" t="s">
        <v>182</v>
      </c>
      <c r="J18" s="2" t="s">
        <v>183</v>
      </c>
      <c r="L18" s="2" t="s">
        <v>184</v>
      </c>
      <c r="N18" s="2" t="s">
        <v>185</v>
      </c>
      <c r="P18" s="2" t="s">
        <v>186</v>
      </c>
      <c r="R18" s="2" t="s">
        <v>187</v>
      </c>
      <c r="T18" s="2" t="s">
        <v>188</v>
      </c>
      <c r="V18" s="2" t="s">
        <v>189</v>
      </c>
      <c r="X18" s="2" t="s">
        <v>190</v>
      </c>
      <c r="Z18" s="2" t="s">
        <v>191</v>
      </c>
      <c r="AB18" s="2" t="s">
        <v>192</v>
      </c>
      <c r="AD18" s="2" t="s">
        <v>193</v>
      </c>
      <c r="AF18" s="2" t="s">
        <v>489</v>
      </c>
      <c r="AG18" s="2"/>
      <c r="AH18" s="2" t="s">
        <v>490</v>
      </c>
      <c r="AI18" s="2"/>
      <c r="AJ18" s="2"/>
      <c r="AK18" s="2"/>
      <c r="AO18" s="50" t="s">
        <v>43</v>
      </c>
      <c r="AP18" s="34" t="s">
        <v>61</v>
      </c>
      <c r="AQ18" s="25" t="s">
        <v>189</v>
      </c>
      <c r="AR18" s="25" t="s">
        <v>91</v>
      </c>
      <c r="AS18" s="25" t="s">
        <v>124</v>
      </c>
      <c r="AT18" s="25" t="s">
        <v>109</v>
      </c>
      <c r="AU18" s="25" t="s">
        <v>147</v>
      </c>
      <c r="AV18" s="25" t="s">
        <v>162</v>
      </c>
      <c r="AW18" s="25" t="s">
        <v>204</v>
      </c>
      <c r="AX18" s="34" t="s">
        <v>255</v>
      </c>
      <c r="AY18" s="25" t="s">
        <v>270</v>
      </c>
      <c r="BA18" s="34"/>
      <c r="BB18" s="34"/>
      <c r="BC18" s="34"/>
      <c r="BH18"/>
      <c r="BI18"/>
      <c r="BJ18"/>
      <c r="BK18"/>
      <c r="BL18"/>
      <c r="BM18"/>
      <c r="BN18"/>
    </row>
    <row r="19" spans="2:71" s="19" customFormat="1" x14ac:dyDescent="0.25">
      <c r="B19" s="2" t="s">
        <v>287</v>
      </c>
      <c r="D19" s="2" t="s">
        <v>287</v>
      </c>
      <c r="F19" s="2" t="s">
        <v>287</v>
      </c>
      <c r="H19" s="2"/>
      <c r="J19" s="2"/>
      <c r="L19" s="2" t="s">
        <v>31</v>
      </c>
      <c r="N19" s="2" t="s">
        <v>31</v>
      </c>
      <c r="P19" s="2" t="s">
        <v>31</v>
      </c>
      <c r="R19" s="2" t="s">
        <v>31</v>
      </c>
      <c r="T19" s="2" t="s">
        <v>31</v>
      </c>
      <c r="V19" s="2" t="s">
        <v>31</v>
      </c>
      <c r="X19" s="2" t="s">
        <v>31</v>
      </c>
      <c r="Z19" s="2" t="s">
        <v>287</v>
      </c>
      <c r="AB19" s="2" t="s">
        <v>287</v>
      </c>
      <c r="AD19" s="2" t="s">
        <v>31</v>
      </c>
      <c r="AF19" s="2" t="s">
        <v>31</v>
      </c>
      <c r="AG19" s="2"/>
      <c r="AH19" s="2" t="s">
        <v>31</v>
      </c>
      <c r="AI19" s="2"/>
      <c r="AJ19" s="2"/>
      <c r="AK19" s="2"/>
      <c r="AO19" s="50" t="s">
        <v>44</v>
      </c>
      <c r="AP19" s="34" t="s">
        <v>62</v>
      </c>
      <c r="AQ19" s="25" t="s">
        <v>190</v>
      </c>
      <c r="AR19" s="25" t="s">
        <v>92</v>
      </c>
      <c r="AS19" s="25" t="s">
        <v>125</v>
      </c>
      <c r="AT19" s="25" t="s">
        <v>110</v>
      </c>
      <c r="AU19" s="25" t="s">
        <v>151</v>
      </c>
      <c r="AV19" s="25" t="s">
        <v>163</v>
      </c>
      <c r="AW19" s="25" t="s">
        <v>205</v>
      </c>
      <c r="AX19" s="34" t="s">
        <v>164</v>
      </c>
      <c r="AY19" s="25" t="s">
        <v>164</v>
      </c>
      <c r="BA19" s="34"/>
      <c r="BB19" s="34"/>
      <c r="BC19" s="34"/>
      <c r="BH19"/>
      <c r="BI19"/>
      <c r="BJ19"/>
      <c r="BK19"/>
      <c r="BL19"/>
      <c r="BM19"/>
      <c r="BN19"/>
    </row>
    <row r="20" spans="2:71" s="19" customFormat="1" x14ac:dyDescent="0.25">
      <c r="B20" s="2" t="s">
        <v>31</v>
      </c>
      <c r="D20" s="2" t="s">
        <v>31</v>
      </c>
      <c r="F20" s="2" t="s">
        <v>31</v>
      </c>
      <c r="H20" s="2"/>
      <c r="J20" s="2"/>
      <c r="L20" s="2" t="s">
        <v>32</v>
      </c>
      <c r="N20" s="2" t="s">
        <v>32</v>
      </c>
      <c r="P20" s="2" t="s">
        <v>32</v>
      </c>
      <c r="R20" s="2" t="s">
        <v>32</v>
      </c>
      <c r="T20" s="2" t="s">
        <v>32</v>
      </c>
      <c r="V20" s="2" t="s">
        <v>32</v>
      </c>
      <c r="X20" s="2" t="s">
        <v>32</v>
      </c>
      <c r="Z20" s="2" t="s">
        <v>31</v>
      </c>
      <c r="AB20" s="2" t="s">
        <v>31</v>
      </c>
      <c r="AD20" s="2" t="s">
        <v>32</v>
      </c>
      <c r="AF20" s="216"/>
      <c r="AG20" s="216"/>
      <c r="AH20" s="216"/>
      <c r="AI20" s="216"/>
      <c r="AJ20" s="216"/>
      <c r="AK20" s="216"/>
      <c r="AL20" s="216"/>
      <c r="AO20" s="50" t="s">
        <v>45</v>
      </c>
      <c r="AP20" s="34" t="s">
        <v>63</v>
      </c>
      <c r="AQ20" s="25" t="s">
        <v>191</v>
      </c>
      <c r="AR20" s="25" t="s">
        <v>93</v>
      </c>
      <c r="AS20" s="25" t="s">
        <v>126</v>
      </c>
      <c r="AT20" s="25" t="s">
        <v>111</v>
      </c>
      <c r="AU20" s="25" t="s">
        <v>148</v>
      </c>
      <c r="AV20" s="25" t="s">
        <v>164</v>
      </c>
      <c r="AW20" s="25" t="s">
        <v>206</v>
      </c>
      <c r="AX20" s="34" t="s">
        <v>164</v>
      </c>
      <c r="AY20" s="25" t="s">
        <v>164</v>
      </c>
      <c r="BA20" s="34"/>
      <c r="BB20" s="34"/>
      <c r="BC20" s="34"/>
      <c r="BH20"/>
      <c r="BI20"/>
      <c r="BJ20"/>
      <c r="BK20"/>
      <c r="BL20"/>
      <c r="BM20"/>
      <c r="BN20"/>
      <c r="BS20"/>
    </row>
    <row r="21" spans="2:71" s="19" customFormat="1" x14ac:dyDescent="0.25">
      <c r="B21" s="2" t="s">
        <v>32</v>
      </c>
      <c r="D21" s="2" t="s">
        <v>32</v>
      </c>
      <c r="F21" s="2" t="s">
        <v>32</v>
      </c>
      <c r="H21" s="2"/>
      <c r="J21" s="2"/>
      <c r="L21" s="2"/>
      <c r="N21" s="2"/>
      <c r="P21" s="2"/>
      <c r="R21" s="2"/>
      <c r="T21" s="2"/>
      <c r="V21" s="2"/>
      <c r="X21" s="2"/>
      <c r="Z21" s="2" t="s">
        <v>32</v>
      </c>
      <c r="AB21" s="2" t="s">
        <v>32</v>
      </c>
      <c r="AD21" s="2"/>
      <c r="AF21" s="216"/>
      <c r="AG21" s="216"/>
      <c r="AH21" s="216"/>
      <c r="AI21" s="216"/>
      <c r="AJ21" s="216"/>
      <c r="AK21" s="216"/>
      <c r="AL21" s="216"/>
      <c r="AO21" s="50" t="s">
        <v>46</v>
      </c>
      <c r="AP21" s="34" t="s">
        <v>64</v>
      </c>
      <c r="AQ21" s="25" t="s">
        <v>192</v>
      </c>
      <c r="AR21" s="25" t="s">
        <v>94</v>
      </c>
      <c r="AS21" s="25" t="s">
        <v>127</v>
      </c>
      <c r="AT21" s="25" t="s">
        <v>112</v>
      </c>
      <c r="AU21" s="25" t="s">
        <v>149</v>
      </c>
      <c r="AV21" s="25" t="s">
        <v>164</v>
      </c>
      <c r="AW21" s="25" t="s">
        <v>207</v>
      </c>
      <c r="AX21" s="34" t="s">
        <v>164</v>
      </c>
      <c r="AY21" s="25" t="s">
        <v>164</v>
      </c>
      <c r="BA21" s="34"/>
      <c r="BB21" s="34"/>
      <c r="BC21" s="34"/>
      <c r="BH21"/>
      <c r="BI21"/>
      <c r="BJ21"/>
      <c r="BK21"/>
      <c r="BL21"/>
      <c r="BM21"/>
      <c r="BN21"/>
      <c r="BS21"/>
    </row>
    <row r="22" spans="2:71" s="19" customFormat="1" x14ac:dyDescent="0.25">
      <c r="B22" s="42"/>
      <c r="C22" s="4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G22" s="70"/>
      <c r="AH22" s="70"/>
      <c r="AI22" s="70"/>
      <c r="AJ22" s="70"/>
      <c r="AL22" s="4"/>
      <c r="AM22" s="2"/>
      <c r="AO22" s="51" t="s">
        <v>47</v>
      </c>
      <c r="AP22" s="35" t="s">
        <v>65</v>
      </c>
      <c r="AQ22" s="37" t="s">
        <v>193</v>
      </c>
      <c r="AR22" s="37" t="s">
        <v>95</v>
      </c>
      <c r="AS22" s="37" t="s">
        <v>128</v>
      </c>
      <c r="AT22" s="37" t="s">
        <v>113</v>
      </c>
      <c r="AU22" s="37" t="s">
        <v>150</v>
      </c>
      <c r="AV22" s="37" t="s">
        <v>164</v>
      </c>
      <c r="AW22" s="37" t="s">
        <v>208</v>
      </c>
      <c r="AX22" s="35" t="s">
        <v>164</v>
      </c>
      <c r="AY22" s="37" t="s">
        <v>164</v>
      </c>
      <c r="BA22" s="34"/>
      <c r="BH22"/>
      <c r="BI22"/>
      <c r="BJ22"/>
      <c r="BK22"/>
      <c r="BL22"/>
      <c r="BM22"/>
      <c r="BN22"/>
    </row>
    <row r="23" spans="2:71" s="70" customFormat="1" x14ac:dyDescent="0.25">
      <c r="B23" s="42"/>
      <c r="C23" s="4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L23" s="4"/>
      <c r="AM23" s="2"/>
      <c r="AO23" s="49" t="s">
        <v>472</v>
      </c>
      <c r="AP23" s="36" t="s">
        <v>164</v>
      </c>
      <c r="AQ23" s="36" t="s">
        <v>164</v>
      </c>
      <c r="AR23" s="36" t="s">
        <v>164</v>
      </c>
      <c r="AS23" s="36" t="s">
        <v>164</v>
      </c>
      <c r="AT23" s="36" t="s">
        <v>164</v>
      </c>
      <c r="AU23" s="36" t="s">
        <v>164</v>
      </c>
      <c r="AV23" s="36" t="s">
        <v>164</v>
      </c>
      <c r="AW23" s="36" t="s">
        <v>164</v>
      </c>
      <c r="AX23" s="36" t="s">
        <v>164</v>
      </c>
      <c r="AY23" s="36" t="s">
        <v>164</v>
      </c>
      <c r="BA23" s="34"/>
      <c r="BH23"/>
      <c r="BI23"/>
      <c r="BJ23"/>
      <c r="BK23"/>
      <c r="BL23"/>
      <c r="BM23"/>
      <c r="BN23"/>
    </row>
    <row r="24" spans="2:71" s="70" customFormat="1" x14ac:dyDescent="0.25">
      <c r="B24" s="42"/>
      <c r="C24" s="43"/>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L24" s="4"/>
      <c r="AM24" s="2"/>
      <c r="AO24" s="50" t="s">
        <v>473</v>
      </c>
      <c r="AP24" s="25" t="s">
        <v>164</v>
      </c>
      <c r="AQ24" s="25" t="s">
        <v>164</v>
      </c>
      <c r="AR24" s="25" t="s">
        <v>164</v>
      </c>
      <c r="AS24" s="25" t="s">
        <v>164</v>
      </c>
      <c r="AT24" s="25" t="s">
        <v>164</v>
      </c>
      <c r="AU24" s="25" t="s">
        <v>164</v>
      </c>
      <c r="AV24" s="25" t="s">
        <v>164</v>
      </c>
      <c r="AW24" s="25" t="s">
        <v>164</v>
      </c>
      <c r="AX24" s="25" t="s">
        <v>164</v>
      </c>
      <c r="AY24" s="25" t="s">
        <v>164</v>
      </c>
      <c r="BA24" s="34"/>
      <c r="BH24"/>
      <c r="BI24"/>
      <c r="BJ24"/>
      <c r="BK24"/>
      <c r="BL24"/>
      <c r="BM24"/>
      <c r="BN24"/>
    </row>
    <row r="25" spans="2:71" s="70" customFormat="1" x14ac:dyDescent="0.25">
      <c r="B25" s="42"/>
      <c r="C25" s="4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L25" s="4"/>
      <c r="AM25" s="2"/>
      <c r="AO25" s="50" t="s">
        <v>474</v>
      </c>
      <c r="AP25" s="25" t="s">
        <v>164</v>
      </c>
      <c r="AQ25" s="25" t="s">
        <v>164</v>
      </c>
      <c r="AR25" s="25" t="s">
        <v>164</v>
      </c>
      <c r="AS25" s="25" t="s">
        <v>164</v>
      </c>
      <c r="AT25" s="25" t="s">
        <v>164</v>
      </c>
      <c r="AU25" s="25" t="s">
        <v>164</v>
      </c>
      <c r="AV25" s="25" t="s">
        <v>164</v>
      </c>
      <c r="AW25" s="25" t="s">
        <v>164</v>
      </c>
      <c r="AX25" s="25" t="s">
        <v>164</v>
      </c>
      <c r="AY25" s="25" t="s">
        <v>164</v>
      </c>
      <c r="BA25" s="34"/>
      <c r="BH25"/>
      <c r="BI25"/>
      <c r="BJ25"/>
      <c r="BK25"/>
      <c r="BL25"/>
      <c r="BM25"/>
      <c r="BN25"/>
    </row>
    <row r="26" spans="2:71" s="70" customFormat="1" x14ac:dyDescent="0.25">
      <c r="B26" s="42"/>
      <c r="C26" s="43"/>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L26" s="4"/>
      <c r="AM26" s="2"/>
      <c r="AO26" s="50" t="s">
        <v>475</v>
      </c>
      <c r="AP26" s="25" t="s">
        <v>482</v>
      </c>
      <c r="AQ26" s="25" t="s">
        <v>489</v>
      </c>
      <c r="AR26" s="25" t="s">
        <v>164</v>
      </c>
      <c r="AS26" s="25" t="s">
        <v>493</v>
      </c>
      <c r="AT26" s="25" t="s">
        <v>495</v>
      </c>
      <c r="AU26" s="25" t="s">
        <v>164</v>
      </c>
      <c r="AV26" s="25" t="s">
        <v>502</v>
      </c>
      <c r="AW26" s="25" t="s">
        <v>505</v>
      </c>
      <c r="AX26" s="25" t="s">
        <v>497</v>
      </c>
      <c r="AY26" s="25" t="s">
        <v>499</v>
      </c>
      <c r="BA26" s="34"/>
      <c r="BH26"/>
      <c r="BI26"/>
      <c r="BJ26"/>
      <c r="BK26"/>
      <c r="BL26"/>
      <c r="BM26"/>
      <c r="BN26"/>
    </row>
    <row r="27" spans="2:71" s="70" customFormat="1" x14ac:dyDescent="0.25">
      <c r="B27" s="42"/>
      <c r="C27" s="4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L27" s="4"/>
      <c r="AM27" s="2"/>
      <c r="AO27" s="50" t="s">
        <v>476</v>
      </c>
      <c r="AP27" s="25" t="s">
        <v>483</v>
      </c>
      <c r="AQ27" s="25" t="s">
        <v>490</v>
      </c>
      <c r="AR27" s="25" t="s">
        <v>164</v>
      </c>
      <c r="AS27" s="25" t="s">
        <v>494</v>
      </c>
      <c r="AT27" s="25" t="s">
        <v>496</v>
      </c>
      <c r="AU27" s="25" t="s">
        <v>164</v>
      </c>
      <c r="AV27" s="25" t="s">
        <v>503</v>
      </c>
      <c r="AW27" s="25" t="s">
        <v>504</v>
      </c>
      <c r="AX27" s="25" t="s">
        <v>498</v>
      </c>
      <c r="AY27" s="25" t="s">
        <v>500</v>
      </c>
      <c r="BA27" s="34"/>
      <c r="BH27"/>
      <c r="BI27"/>
      <c r="BJ27"/>
      <c r="BK27"/>
      <c r="BL27"/>
      <c r="BM27"/>
      <c r="BN27"/>
    </row>
    <row r="28" spans="2:71" s="70" customFormat="1" x14ac:dyDescent="0.25">
      <c r="B28" s="42"/>
      <c r="C28" s="43"/>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L28" s="4"/>
      <c r="AM28" s="2"/>
      <c r="AO28" s="51" t="s">
        <v>477</v>
      </c>
      <c r="AP28" s="37" t="s">
        <v>164</v>
      </c>
      <c r="AQ28" s="37" t="s">
        <v>164</v>
      </c>
      <c r="AR28" s="37" t="s">
        <v>164</v>
      </c>
      <c r="AS28" s="37" t="s">
        <v>164</v>
      </c>
      <c r="AT28" s="37" t="s">
        <v>164</v>
      </c>
      <c r="AU28" s="37" t="s">
        <v>164</v>
      </c>
      <c r="AV28" s="37" t="s">
        <v>164</v>
      </c>
      <c r="AW28" s="37" t="s">
        <v>164</v>
      </c>
      <c r="AX28" s="37" t="s">
        <v>164</v>
      </c>
      <c r="AY28" s="37" t="s">
        <v>164</v>
      </c>
      <c r="BA28" s="34"/>
      <c r="BH28"/>
      <c r="BI28"/>
      <c r="BJ28"/>
      <c r="BK28"/>
      <c r="BL28"/>
      <c r="BM28"/>
      <c r="BN28"/>
    </row>
    <row r="29" spans="2:71" s="19" customFormat="1" ht="16.5" thickBot="1" x14ac:dyDescent="0.3">
      <c r="B29" s="490" t="s">
        <v>219</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2"/>
      <c r="BA29" s="54"/>
      <c r="BH29"/>
      <c r="BI29"/>
      <c r="BJ29"/>
      <c r="BK29"/>
      <c r="BL29"/>
      <c r="BM29"/>
      <c r="BN29"/>
      <c r="BS29"/>
    </row>
    <row r="30" spans="2:71" ht="15.75" thickBot="1" x14ac:dyDescent="0.3">
      <c r="B30" s="2" t="s">
        <v>81</v>
      </c>
      <c r="C30" s="2"/>
      <c r="D30" s="2" t="s">
        <v>82</v>
      </c>
      <c r="E30" s="2"/>
      <c r="F30" s="2" t="s">
        <v>83</v>
      </c>
      <c r="G30" s="2"/>
      <c r="H30" s="2" t="s">
        <v>84</v>
      </c>
      <c r="I30" s="2"/>
      <c r="J30" s="2" t="s">
        <v>85</v>
      </c>
      <c r="K30" s="2"/>
      <c r="L30" s="2" t="s">
        <v>86</v>
      </c>
      <c r="M30" s="2"/>
      <c r="N30" s="2" t="s">
        <v>87</v>
      </c>
      <c r="O30" s="2"/>
      <c r="P30" s="2" t="s">
        <v>88</v>
      </c>
      <c r="Q30" s="2"/>
      <c r="R30" s="2" t="s">
        <v>89</v>
      </c>
      <c r="S30" s="2"/>
      <c r="T30" s="2" t="s">
        <v>90</v>
      </c>
      <c r="U30" s="2"/>
      <c r="V30" s="2" t="s">
        <v>91</v>
      </c>
      <c r="W30" s="2"/>
      <c r="X30" s="2" t="s">
        <v>92</v>
      </c>
      <c r="Y30" s="2"/>
      <c r="Z30" s="2" t="s">
        <v>93</v>
      </c>
      <c r="AA30" s="2"/>
      <c r="AB30" s="2" t="s">
        <v>94</v>
      </c>
      <c r="AC30" s="2"/>
      <c r="AD30" s="2" t="s">
        <v>95</v>
      </c>
      <c r="AE30" s="2"/>
      <c r="AF30" s="2" t="s">
        <v>96</v>
      </c>
      <c r="AG30" s="2"/>
      <c r="AH30" s="2" t="s">
        <v>492</v>
      </c>
      <c r="AI30" s="2"/>
      <c r="AJ30" s="2" t="s">
        <v>491</v>
      </c>
      <c r="AK30" s="19"/>
      <c r="AL30" s="2" t="s">
        <v>174</v>
      </c>
      <c r="AM30" s="2"/>
      <c r="AO30" s="491" t="s">
        <v>136</v>
      </c>
      <c r="AP30" s="492"/>
      <c r="AQ30" s="493"/>
    </row>
    <row r="31" spans="2:71" s="19" customFormat="1" x14ac:dyDescent="0.25">
      <c r="B31" s="2" t="s">
        <v>66</v>
      </c>
      <c r="C31" s="2"/>
      <c r="D31" s="2" t="s">
        <v>67</v>
      </c>
      <c r="E31" s="2"/>
      <c r="F31" s="2" t="s">
        <v>66</v>
      </c>
      <c r="G31" s="2"/>
      <c r="H31" s="2" t="s">
        <v>66</v>
      </c>
      <c r="I31" s="2"/>
      <c r="J31" s="2" t="s">
        <v>67</v>
      </c>
      <c r="K31" s="2"/>
      <c r="L31" s="2" t="s">
        <v>66</v>
      </c>
      <c r="M31" s="2"/>
      <c r="N31" s="2" t="s">
        <v>68</v>
      </c>
      <c r="O31" s="2"/>
      <c r="P31" s="2" t="s">
        <v>66</v>
      </c>
      <c r="Q31" s="2"/>
      <c r="R31" s="2" t="s">
        <v>75</v>
      </c>
      <c r="S31" s="2"/>
      <c r="T31" s="2" t="s">
        <v>67</v>
      </c>
      <c r="U31" s="2"/>
      <c r="V31" s="2" t="s">
        <v>67</v>
      </c>
      <c r="W31" s="2"/>
      <c r="X31" s="2" t="s">
        <v>75</v>
      </c>
      <c r="Y31" s="2"/>
      <c r="Z31" s="2" t="s">
        <v>67</v>
      </c>
      <c r="AA31" s="2"/>
      <c r="AB31" s="2" t="s">
        <v>67</v>
      </c>
      <c r="AC31" s="2"/>
      <c r="AD31" s="2" t="s">
        <v>66</v>
      </c>
      <c r="AE31" s="2"/>
      <c r="AF31" s="2" t="s">
        <v>69</v>
      </c>
      <c r="AG31" s="2"/>
      <c r="AH31" s="2" t="s">
        <v>69</v>
      </c>
      <c r="AI31" s="2"/>
      <c r="AJ31" s="2" t="s">
        <v>72</v>
      </c>
      <c r="AL31" s="2" t="s">
        <v>66</v>
      </c>
      <c r="AM31" s="2"/>
      <c r="AO31" s="45" t="s">
        <v>0</v>
      </c>
      <c r="AP31" s="46" t="s">
        <v>2</v>
      </c>
      <c r="AQ31" s="47" t="s">
        <v>3</v>
      </c>
      <c r="AY31"/>
      <c r="AZ31"/>
      <c r="BA31"/>
      <c r="BB31"/>
      <c r="BC31"/>
      <c r="BD31"/>
      <c r="BE31"/>
      <c r="BF31"/>
      <c r="BG31"/>
      <c r="BH31"/>
      <c r="BI31"/>
      <c r="BJ31"/>
      <c r="BK31"/>
      <c r="BL31"/>
      <c r="BM31"/>
      <c r="BN31"/>
      <c r="BO31"/>
      <c r="BP31"/>
      <c r="BQ31"/>
      <c r="BR31"/>
      <c r="BS31"/>
    </row>
    <row r="32" spans="2:71" s="19" customFormat="1" x14ac:dyDescent="0.25">
      <c r="B32" s="2" t="s">
        <v>67</v>
      </c>
      <c r="C32" s="2"/>
      <c r="D32" s="2" t="s">
        <v>68</v>
      </c>
      <c r="E32" s="2"/>
      <c r="F32" s="2" t="s">
        <v>67</v>
      </c>
      <c r="G32" s="2"/>
      <c r="H32" s="2" t="s">
        <v>67</v>
      </c>
      <c r="I32" s="2"/>
      <c r="J32" s="2" t="s">
        <v>68</v>
      </c>
      <c r="K32" s="2"/>
      <c r="L32" s="2" t="s">
        <v>67</v>
      </c>
      <c r="M32" s="2"/>
      <c r="N32" s="2" t="s">
        <v>70</v>
      </c>
      <c r="O32" s="2"/>
      <c r="P32" s="2" t="s">
        <v>67</v>
      </c>
      <c r="Q32" s="2"/>
      <c r="R32" s="2" t="s">
        <v>72</v>
      </c>
      <c r="S32" s="2"/>
      <c r="T32" s="2" t="s">
        <v>68</v>
      </c>
      <c r="U32" s="2"/>
      <c r="V32" s="2" t="s">
        <v>68</v>
      </c>
      <c r="W32" s="2"/>
      <c r="X32" s="2" t="s">
        <v>72</v>
      </c>
      <c r="Y32" s="2"/>
      <c r="Z32" s="2" t="s">
        <v>68</v>
      </c>
      <c r="AA32" s="2"/>
      <c r="AB32" s="2" t="s">
        <v>68</v>
      </c>
      <c r="AC32" s="2"/>
      <c r="AD32" s="2" t="s">
        <v>67</v>
      </c>
      <c r="AE32" s="2"/>
      <c r="AF32" s="2" t="s">
        <v>70</v>
      </c>
      <c r="AG32" s="2"/>
      <c r="AH32" s="2" t="s">
        <v>70</v>
      </c>
      <c r="AI32" s="2"/>
      <c r="AJ32" s="2" t="s">
        <v>73</v>
      </c>
      <c r="AL32" s="2" t="s">
        <v>67</v>
      </c>
      <c r="AM32" s="2"/>
      <c r="AO32" s="20" t="s">
        <v>75</v>
      </c>
      <c r="AP32" s="25" t="s">
        <v>132</v>
      </c>
      <c r="AQ32" s="21" t="s">
        <v>131</v>
      </c>
      <c r="AY32"/>
      <c r="AZ32"/>
      <c r="BA32"/>
      <c r="BB32"/>
      <c r="BC32"/>
      <c r="BD32"/>
      <c r="BE32"/>
      <c r="BF32"/>
      <c r="BG32"/>
      <c r="BH32"/>
      <c r="BI32"/>
      <c r="BJ32"/>
      <c r="BK32"/>
      <c r="BL32"/>
      <c r="BM32"/>
      <c r="BN32"/>
      <c r="BO32"/>
      <c r="BP32"/>
      <c r="BQ32"/>
      <c r="BR32"/>
      <c r="BS32"/>
    </row>
    <row r="33" spans="2:71" s="19" customFormat="1" x14ac:dyDescent="0.25">
      <c r="B33" s="2" t="s">
        <v>68</v>
      </c>
      <c r="C33" s="2"/>
      <c r="D33" s="2" t="s">
        <v>69</v>
      </c>
      <c r="E33" s="2"/>
      <c r="F33" s="2" t="s">
        <v>68</v>
      </c>
      <c r="G33" s="2"/>
      <c r="H33" s="2" t="s">
        <v>68</v>
      </c>
      <c r="I33" s="2"/>
      <c r="J33" s="2" t="s">
        <v>69</v>
      </c>
      <c r="K33" s="2"/>
      <c r="L33" s="2" t="s">
        <v>68</v>
      </c>
      <c r="M33" s="2"/>
      <c r="N33" s="2"/>
      <c r="O33" s="2"/>
      <c r="P33" s="2" t="s">
        <v>68</v>
      </c>
      <c r="Q33" s="2"/>
      <c r="R33" s="2" t="s">
        <v>78</v>
      </c>
      <c r="S33" s="2"/>
      <c r="T33" s="2" t="s">
        <v>69</v>
      </c>
      <c r="U33" s="2"/>
      <c r="V33" s="2" t="s">
        <v>69</v>
      </c>
      <c r="W33" s="2"/>
      <c r="X33" s="2" t="s">
        <v>78</v>
      </c>
      <c r="Y33" s="2"/>
      <c r="Z33" s="2" t="s">
        <v>69</v>
      </c>
      <c r="AA33" s="2"/>
      <c r="AB33" s="2" t="s">
        <v>69</v>
      </c>
      <c r="AC33" s="2"/>
      <c r="AD33" s="2" t="s">
        <v>68</v>
      </c>
      <c r="AE33" s="2"/>
      <c r="AF33" s="2" t="s">
        <v>71</v>
      </c>
      <c r="AG33" s="2"/>
      <c r="AH33" s="2" t="s">
        <v>71</v>
      </c>
      <c r="AI33" s="2"/>
      <c r="AJ33" s="2" t="s">
        <v>74</v>
      </c>
      <c r="AL33" s="2" t="s">
        <v>68</v>
      </c>
      <c r="AM33" s="2"/>
      <c r="AO33" s="20" t="s">
        <v>72</v>
      </c>
      <c r="AP33" s="25" t="s">
        <v>132</v>
      </c>
      <c r="AQ33" s="21" t="s">
        <v>135</v>
      </c>
      <c r="AY33"/>
      <c r="AZ33"/>
      <c r="BA33"/>
      <c r="BB33"/>
      <c r="BC33"/>
      <c r="BD33"/>
      <c r="BE33"/>
      <c r="BF33"/>
      <c r="BG33"/>
      <c r="BH33"/>
      <c r="BI33"/>
      <c r="BJ33"/>
      <c r="BK33"/>
      <c r="BL33"/>
      <c r="BM33"/>
      <c r="BN33"/>
      <c r="BO33"/>
      <c r="BP33"/>
      <c r="BQ33"/>
      <c r="BR33"/>
      <c r="BS33"/>
    </row>
    <row r="34" spans="2:71" s="19" customFormat="1" x14ac:dyDescent="0.25">
      <c r="B34" s="2" t="s">
        <v>69</v>
      </c>
      <c r="C34" s="2"/>
      <c r="D34" s="2" t="s">
        <v>70</v>
      </c>
      <c r="E34" s="2"/>
      <c r="F34" s="2" t="s">
        <v>69</v>
      </c>
      <c r="G34" s="2"/>
      <c r="H34" s="2" t="s">
        <v>69</v>
      </c>
      <c r="I34" s="2"/>
      <c r="J34" s="2" t="s">
        <v>70</v>
      </c>
      <c r="K34" s="2"/>
      <c r="L34" s="2" t="s">
        <v>69</v>
      </c>
      <c r="M34" s="2"/>
      <c r="N34" s="2"/>
      <c r="O34" s="2"/>
      <c r="P34" s="2" t="s">
        <v>69</v>
      </c>
      <c r="Q34" s="2"/>
      <c r="R34" s="2" t="s">
        <v>76</v>
      </c>
      <c r="S34" s="2"/>
      <c r="T34" s="2" t="s">
        <v>70</v>
      </c>
      <c r="U34" s="2"/>
      <c r="V34" s="2" t="s">
        <v>70</v>
      </c>
      <c r="W34" s="2"/>
      <c r="X34" s="2" t="s">
        <v>76</v>
      </c>
      <c r="Y34" s="2"/>
      <c r="Z34" s="2" t="s">
        <v>70</v>
      </c>
      <c r="AA34" s="2"/>
      <c r="AB34" s="2" t="s">
        <v>70</v>
      </c>
      <c r="AC34" s="2"/>
      <c r="AD34" s="2" t="s">
        <v>69</v>
      </c>
      <c r="AE34" s="2"/>
      <c r="AF34" s="2" t="s">
        <v>72</v>
      </c>
      <c r="AG34" s="2"/>
      <c r="AH34" s="2" t="s">
        <v>76</v>
      </c>
      <c r="AI34" s="2"/>
      <c r="AJ34" s="2" t="s">
        <v>517</v>
      </c>
      <c r="AL34" s="2" t="s">
        <v>69</v>
      </c>
      <c r="AM34" s="2"/>
      <c r="AO34" s="20" t="s">
        <v>78</v>
      </c>
      <c r="AP34" s="25" t="s">
        <v>132</v>
      </c>
      <c r="AQ34" s="21" t="s">
        <v>29</v>
      </c>
      <c r="AY34"/>
      <c r="AZ34"/>
      <c r="BA34"/>
      <c r="BB34"/>
      <c r="BC34"/>
      <c r="BD34"/>
      <c r="BE34"/>
      <c r="BF34"/>
      <c r="BG34"/>
      <c r="BH34"/>
      <c r="BI34"/>
      <c r="BJ34"/>
      <c r="BK34"/>
      <c r="BL34"/>
      <c r="BM34"/>
      <c r="BN34"/>
      <c r="BO34"/>
      <c r="BP34"/>
      <c r="BQ34"/>
      <c r="BR34"/>
      <c r="BS34"/>
    </row>
    <row r="35" spans="2:71" s="19" customFormat="1" x14ac:dyDescent="0.25">
      <c r="B35" s="2" t="s">
        <v>70</v>
      </c>
      <c r="C35" s="2"/>
      <c r="D35" s="2" t="s">
        <v>71</v>
      </c>
      <c r="E35" s="2"/>
      <c r="F35" s="2" t="s">
        <v>70</v>
      </c>
      <c r="G35" s="2"/>
      <c r="H35" s="2" t="s">
        <v>70</v>
      </c>
      <c r="I35" s="2"/>
      <c r="J35" s="2" t="s">
        <v>71</v>
      </c>
      <c r="K35" s="2"/>
      <c r="L35" s="2" t="s">
        <v>70</v>
      </c>
      <c r="M35" s="2"/>
      <c r="N35" s="2"/>
      <c r="O35" s="2"/>
      <c r="P35" s="2" t="s">
        <v>70</v>
      </c>
      <c r="Q35" s="2"/>
      <c r="R35" s="2" t="s">
        <v>73</v>
      </c>
      <c r="S35" s="2"/>
      <c r="T35" s="2" t="s">
        <v>71</v>
      </c>
      <c r="U35" s="2"/>
      <c r="V35" s="2" t="s">
        <v>71</v>
      </c>
      <c r="W35" s="2"/>
      <c r="X35" s="2" t="s">
        <v>73</v>
      </c>
      <c r="Y35" s="2"/>
      <c r="Z35" s="2" t="s">
        <v>71</v>
      </c>
      <c r="AA35" s="2"/>
      <c r="AB35" s="2" t="s">
        <v>71</v>
      </c>
      <c r="AC35" s="2"/>
      <c r="AD35" s="2" t="s">
        <v>70</v>
      </c>
      <c r="AE35" s="2"/>
      <c r="AF35" s="2" t="s">
        <v>73</v>
      </c>
      <c r="AG35" s="2"/>
      <c r="AH35" s="2" t="s">
        <v>72</v>
      </c>
      <c r="AI35" s="2"/>
      <c r="AJ35" s="2" t="s">
        <v>518</v>
      </c>
      <c r="AL35" s="2" t="s">
        <v>70</v>
      </c>
      <c r="AM35" s="2"/>
      <c r="AO35" s="20" t="s">
        <v>76</v>
      </c>
      <c r="AP35" s="25" t="s">
        <v>133</v>
      </c>
      <c r="AQ35" s="21" t="s">
        <v>131</v>
      </c>
      <c r="AY35"/>
      <c r="AZ35"/>
      <c r="BA35"/>
      <c r="BB35"/>
      <c r="BC35"/>
      <c r="BD35"/>
      <c r="BE35"/>
      <c r="BF35"/>
      <c r="BG35"/>
      <c r="BH35"/>
      <c r="BI35"/>
      <c r="BJ35"/>
      <c r="BK35"/>
      <c r="BL35"/>
      <c r="BM35"/>
      <c r="BN35"/>
      <c r="BO35"/>
      <c r="BP35"/>
      <c r="BQ35"/>
      <c r="BR35"/>
      <c r="BS35"/>
    </row>
    <row r="36" spans="2:71" s="19" customFormat="1" x14ac:dyDescent="0.25">
      <c r="B36" s="2" t="s">
        <v>71</v>
      </c>
      <c r="C36" s="2"/>
      <c r="D36" s="2" t="s">
        <v>72</v>
      </c>
      <c r="E36" s="2"/>
      <c r="F36" s="2" t="s">
        <v>71</v>
      </c>
      <c r="G36" s="2"/>
      <c r="H36" s="2" t="s">
        <v>71</v>
      </c>
      <c r="I36" s="2"/>
      <c r="J36" s="2" t="s">
        <v>72</v>
      </c>
      <c r="K36" s="2"/>
      <c r="L36" s="2" t="s">
        <v>71</v>
      </c>
      <c r="M36" s="2"/>
      <c r="N36" s="2"/>
      <c r="O36" s="2"/>
      <c r="P36" s="2" t="s">
        <v>71</v>
      </c>
      <c r="Q36" s="2"/>
      <c r="R36" s="2" t="s">
        <v>79</v>
      </c>
      <c r="S36" s="2"/>
      <c r="T36" s="2" t="s">
        <v>72</v>
      </c>
      <c r="U36" s="2"/>
      <c r="V36" s="2" t="s">
        <v>72</v>
      </c>
      <c r="W36" s="2"/>
      <c r="X36" s="2" t="s">
        <v>79</v>
      </c>
      <c r="Y36" s="2"/>
      <c r="Z36" s="2" t="s">
        <v>72</v>
      </c>
      <c r="AA36" s="2"/>
      <c r="AB36" s="2" t="s">
        <v>72</v>
      </c>
      <c r="AC36" s="2"/>
      <c r="AD36" s="2" t="s">
        <v>71</v>
      </c>
      <c r="AE36" s="2"/>
      <c r="AF36" s="2" t="s">
        <v>74</v>
      </c>
      <c r="AG36" s="2"/>
      <c r="AH36" s="2" t="s">
        <v>73</v>
      </c>
      <c r="AI36" s="2"/>
      <c r="AJ36" s="2"/>
      <c r="AL36" s="2" t="s">
        <v>71</v>
      </c>
      <c r="AM36" s="2"/>
      <c r="AO36" s="20" t="s">
        <v>73</v>
      </c>
      <c r="AP36" s="25" t="s">
        <v>133</v>
      </c>
      <c r="AQ36" s="21" t="s">
        <v>135</v>
      </c>
      <c r="AY36"/>
      <c r="AZ36"/>
      <c r="BA36"/>
      <c r="BB36"/>
      <c r="BC36"/>
      <c r="BD36"/>
      <c r="BE36"/>
      <c r="BF36"/>
      <c r="BG36"/>
      <c r="BH36"/>
      <c r="BI36"/>
      <c r="BJ36"/>
      <c r="BK36"/>
      <c r="BL36"/>
      <c r="BM36"/>
      <c r="BN36"/>
      <c r="BO36"/>
      <c r="BP36"/>
      <c r="BQ36"/>
      <c r="BR36"/>
      <c r="BS36"/>
    </row>
    <row r="37" spans="2:71" s="19" customFormat="1" x14ac:dyDescent="0.25">
      <c r="B37" s="2" t="s">
        <v>72</v>
      </c>
      <c r="C37" s="2"/>
      <c r="D37" s="2" t="s">
        <v>73</v>
      </c>
      <c r="E37" s="2"/>
      <c r="F37" s="2" t="s">
        <v>72</v>
      </c>
      <c r="G37" s="2"/>
      <c r="H37" s="2" t="s">
        <v>72</v>
      </c>
      <c r="I37" s="2"/>
      <c r="J37" s="2" t="s">
        <v>73</v>
      </c>
      <c r="K37" s="2"/>
      <c r="L37" s="2" t="s">
        <v>72</v>
      </c>
      <c r="M37" s="2"/>
      <c r="N37" s="2"/>
      <c r="O37" s="2"/>
      <c r="P37" s="2" t="s">
        <v>72</v>
      </c>
      <c r="Q37" s="2"/>
      <c r="R37" s="2" t="s">
        <v>77</v>
      </c>
      <c r="S37" s="2"/>
      <c r="T37" s="2" t="s">
        <v>73</v>
      </c>
      <c r="U37" s="2"/>
      <c r="V37" s="2" t="s">
        <v>73</v>
      </c>
      <c r="W37" s="2"/>
      <c r="X37" s="2" t="s">
        <v>77</v>
      </c>
      <c r="Y37" s="2"/>
      <c r="Z37" s="2" t="s">
        <v>73</v>
      </c>
      <c r="AA37" s="2"/>
      <c r="AB37" s="2" t="s">
        <v>73</v>
      </c>
      <c r="AC37" s="2"/>
      <c r="AD37" s="2" t="s">
        <v>72</v>
      </c>
      <c r="AE37" s="2"/>
      <c r="AF37" s="2"/>
      <c r="AG37" s="2"/>
      <c r="AH37" s="2" t="s">
        <v>74</v>
      </c>
      <c r="AI37" s="2"/>
      <c r="AJ37" s="2"/>
      <c r="AL37" s="2" t="s">
        <v>72</v>
      </c>
      <c r="AM37" s="2"/>
      <c r="AO37" s="20" t="s">
        <v>79</v>
      </c>
      <c r="AP37" s="25" t="s">
        <v>133</v>
      </c>
      <c r="AQ37" s="21" t="s">
        <v>29</v>
      </c>
      <c r="AY37"/>
      <c r="AZ37"/>
      <c r="BA37"/>
      <c r="BB37"/>
      <c r="BC37"/>
      <c r="BD37"/>
      <c r="BE37"/>
      <c r="BF37"/>
      <c r="BG37"/>
      <c r="BH37"/>
      <c r="BI37"/>
      <c r="BJ37"/>
      <c r="BK37"/>
      <c r="BL37"/>
      <c r="BM37"/>
      <c r="BN37"/>
      <c r="BO37"/>
      <c r="BP37"/>
      <c r="BQ37"/>
      <c r="BR37"/>
    </row>
    <row r="38" spans="2:71" s="19" customFormat="1" x14ac:dyDescent="0.25">
      <c r="B38" s="2" t="s">
        <v>73</v>
      </c>
      <c r="C38" s="2"/>
      <c r="D38" s="2" t="s">
        <v>74</v>
      </c>
      <c r="E38" s="2"/>
      <c r="F38" s="2" t="s">
        <v>73</v>
      </c>
      <c r="G38" s="2"/>
      <c r="H38" s="2" t="s">
        <v>73</v>
      </c>
      <c r="I38" s="2"/>
      <c r="J38" s="2" t="s">
        <v>74</v>
      </c>
      <c r="K38" s="2"/>
      <c r="L38" s="2" t="s">
        <v>73</v>
      </c>
      <c r="M38" s="2"/>
      <c r="N38" s="2"/>
      <c r="O38" s="2"/>
      <c r="P38" s="2" t="s">
        <v>73</v>
      </c>
      <c r="Q38" s="2"/>
      <c r="R38" s="2" t="s">
        <v>74</v>
      </c>
      <c r="S38" s="2"/>
      <c r="T38" s="2" t="s">
        <v>74</v>
      </c>
      <c r="U38" s="2"/>
      <c r="V38" s="2" t="s">
        <v>74</v>
      </c>
      <c r="W38" s="2"/>
      <c r="X38" s="2" t="s">
        <v>74</v>
      </c>
      <c r="Y38" s="2"/>
      <c r="Z38" s="2" t="s">
        <v>74</v>
      </c>
      <c r="AA38" s="2"/>
      <c r="AB38" s="2" t="s">
        <v>74</v>
      </c>
      <c r="AC38" s="2"/>
      <c r="AD38" s="2" t="s">
        <v>73</v>
      </c>
      <c r="AE38" s="2"/>
      <c r="AF38" s="2"/>
      <c r="AG38" s="2"/>
      <c r="AH38" s="2" t="s">
        <v>517</v>
      </c>
      <c r="AI38" s="2"/>
      <c r="AJ38" s="2"/>
      <c r="AL38" s="2" t="s">
        <v>73</v>
      </c>
      <c r="AM38" s="2"/>
      <c r="AO38" s="20" t="s">
        <v>77</v>
      </c>
      <c r="AP38" s="25" t="s">
        <v>134</v>
      </c>
      <c r="AQ38" s="21" t="s">
        <v>131</v>
      </c>
      <c r="AY38"/>
      <c r="AZ38"/>
      <c r="BA38"/>
      <c r="BB38"/>
      <c r="BC38"/>
      <c r="BD38"/>
      <c r="BE38"/>
      <c r="BF38"/>
      <c r="BG38"/>
      <c r="BH38"/>
      <c r="BI38"/>
      <c r="BJ38"/>
      <c r="BK38"/>
      <c r="BL38"/>
      <c r="BM38"/>
      <c r="BN38"/>
      <c r="BO38"/>
      <c r="BP38"/>
      <c r="BQ38"/>
      <c r="BR38"/>
    </row>
    <row r="39" spans="2:71" s="19" customFormat="1" x14ac:dyDescent="0.25">
      <c r="B39" s="2" t="s">
        <v>74</v>
      </c>
      <c r="C39" s="2"/>
      <c r="D39" s="2"/>
      <c r="E39" s="2"/>
      <c r="F39" s="2" t="s">
        <v>74</v>
      </c>
      <c r="G39" s="2"/>
      <c r="H39" s="2" t="s">
        <v>74</v>
      </c>
      <c r="I39" s="2"/>
      <c r="J39" s="2"/>
      <c r="K39" s="2"/>
      <c r="L39" s="2" t="s">
        <v>74</v>
      </c>
      <c r="M39" s="2"/>
      <c r="N39" s="2"/>
      <c r="O39" s="2"/>
      <c r="P39" s="2" t="s">
        <v>74</v>
      </c>
      <c r="Q39" s="2"/>
      <c r="R39" s="2" t="s">
        <v>80</v>
      </c>
      <c r="S39" s="2"/>
      <c r="T39" s="2"/>
      <c r="U39" s="2"/>
      <c r="V39" s="2"/>
      <c r="W39" s="2"/>
      <c r="X39" s="2" t="s">
        <v>80</v>
      </c>
      <c r="Y39" s="2"/>
      <c r="Z39" s="2"/>
      <c r="AA39" s="2"/>
      <c r="AB39" s="2"/>
      <c r="AC39" s="2"/>
      <c r="AD39" s="2" t="s">
        <v>74</v>
      </c>
      <c r="AE39" s="2"/>
      <c r="AF39" s="2"/>
      <c r="AG39" s="2"/>
      <c r="AH39" s="2" t="s">
        <v>518</v>
      </c>
      <c r="AI39" s="2"/>
      <c r="AJ39" s="2"/>
      <c r="AL39" s="2" t="s">
        <v>74</v>
      </c>
      <c r="AM39" s="2"/>
      <c r="AO39" s="22" t="s">
        <v>74</v>
      </c>
      <c r="AP39" s="25">
        <v>150</v>
      </c>
      <c r="AQ39" s="21">
        <v>90</v>
      </c>
      <c r="AY39"/>
      <c r="AZ39"/>
      <c r="BA39"/>
      <c r="BB39"/>
      <c r="BC39"/>
      <c r="BD39"/>
      <c r="BE39"/>
      <c r="BF39"/>
      <c r="BG39"/>
      <c r="BH39"/>
      <c r="BI39"/>
      <c r="BJ39"/>
      <c r="BK39"/>
      <c r="BL39"/>
      <c r="BM39"/>
      <c r="BN39"/>
      <c r="BO39"/>
      <c r="BP39"/>
      <c r="BQ39"/>
      <c r="BR39"/>
    </row>
    <row r="40" spans="2:71" s="19" customFormat="1" ht="15.75" thickBot="1" x14ac:dyDescent="0.3">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L40" s="2"/>
      <c r="AM40" s="2"/>
      <c r="AO40" s="23" t="s">
        <v>80</v>
      </c>
      <c r="AP40" s="26">
        <v>150</v>
      </c>
      <c r="AQ40" s="24">
        <v>120</v>
      </c>
      <c r="AY40"/>
      <c r="AZ40"/>
      <c r="BA40"/>
      <c r="BB40"/>
      <c r="BC40"/>
      <c r="BD40"/>
      <c r="BE40"/>
      <c r="BF40"/>
      <c r="BG40"/>
      <c r="BH40"/>
      <c r="BI40"/>
      <c r="BJ40"/>
      <c r="BK40"/>
      <c r="BL40"/>
      <c r="BM40"/>
      <c r="BN40"/>
      <c r="BO40"/>
      <c r="BP40"/>
      <c r="BQ40"/>
      <c r="BR40"/>
    </row>
    <row r="41" spans="2:71" ht="15.75" x14ac:dyDescent="0.25">
      <c r="B41" s="490" t="s">
        <v>220</v>
      </c>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19"/>
    </row>
    <row r="42" spans="2:71" x14ac:dyDescent="0.25">
      <c r="B42" s="2" t="s">
        <v>114</v>
      </c>
      <c r="C42" s="19"/>
      <c r="D42" s="2" t="s">
        <v>115</v>
      </c>
      <c r="E42" s="19"/>
      <c r="F42" s="2" t="s">
        <v>116</v>
      </c>
      <c r="G42" s="19"/>
      <c r="H42" s="2" t="s">
        <v>117</v>
      </c>
      <c r="I42" s="19"/>
      <c r="J42" s="2" t="s">
        <v>118</v>
      </c>
      <c r="K42" s="19"/>
      <c r="L42" s="2" t="s">
        <v>119</v>
      </c>
      <c r="M42" s="19"/>
      <c r="N42" s="2" t="s">
        <v>120</v>
      </c>
      <c r="O42" s="19"/>
      <c r="P42" s="2" t="s">
        <v>121</v>
      </c>
      <c r="Q42" s="19"/>
      <c r="R42" s="2" t="s">
        <v>122</v>
      </c>
      <c r="S42" s="19"/>
      <c r="T42" s="2" t="s">
        <v>123</v>
      </c>
      <c r="U42" s="19"/>
      <c r="V42" s="2" t="s">
        <v>124</v>
      </c>
      <c r="W42" s="19"/>
      <c r="X42" s="2" t="s">
        <v>125</v>
      </c>
      <c r="Y42" s="19"/>
      <c r="Z42" s="2" t="s">
        <v>126</v>
      </c>
      <c r="AA42" s="19"/>
      <c r="AB42" s="2" t="s">
        <v>127</v>
      </c>
      <c r="AC42" s="19"/>
      <c r="AD42" s="2" t="s">
        <v>128</v>
      </c>
      <c r="AE42" s="19"/>
      <c r="AF42" s="2" t="s">
        <v>493</v>
      </c>
      <c r="AG42" s="70"/>
      <c r="AH42" s="2" t="s">
        <v>494</v>
      </c>
      <c r="AI42" s="70"/>
      <c r="AJ42" s="70"/>
      <c r="AK42" s="19"/>
      <c r="AL42" s="2" t="s">
        <v>176</v>
      </c>
      <c r="AM42" s="19"/>
      <c r="AO42" s="64" t="s">
        <v>214</v>
      </c>
      <c r="AP42" s="62" t="s">
        <v>14</v>
      </c>
      <c r="AQ42" s="62" t="s">
        <v>15</v>
      </c>
      <c r="AR42" s="62" t="s">
        <v>16</v>
      </c>
      <c r="AS42" s="62" t="s">
        <v>17</v>
      </c>
      <c r="AT42" s="62" t="s">
        <v>18</v>
      </c>
      <c r="AU42" s="62" t="s">
        <v>19</v>
      </c>
      <c r="AV42" s="62" t="s">
        <v>20</v>
      </c>
      <c r="AW42" s="62" t="s">
        <v>21</v>
      </c>
      <c r="AX42" s="220" t="s">
        <v>484</v>
      </c>
      <c r="AY42" s="62" t="s">
        <v>485</v>
      </c>
      <c r="AZ42" s="62" t="s">
        <v>486</v>
      </c>
      <c r="BA42" s="63" t="s">
        <v>487</v>
      </c>
    </row>
    <row r="43" spans="2:71" x14ac:dyDescent="0.25">
      <c r="B43" s="2" t="s">
        <v>5</v>
      </c>
      <c r="C43" s="19"/>
      <c r="D43" s="2" t="s">
        <v>5</v>
      </c>
      <c r="E43" s="19"/>
      <c r="F43" s="2" t="s">
        <v>5</v>
      </c>
      <c r="G43" s="19"/>
      <c r="H43" s="2" t="s">
        <v>5</v>
      </c>
      <c r="I43" s="19"/>
      <c r="J43" s="2" t="s">
        <v>5</v>
      </c>
      <c r="K43" s="19"/>
      <c r="L43" s="2" t="s">
        <v>5</v>
      </c>
      <c r="M43" s="19"/>
      <c r="N43" s="2" t="s">
        <v>5</v>
      </c>
      <c r="O43" s="19"/>
      <c r="P43" s="2" t="s">
        <v>5</v>
      </c>
      <c r="Q43" s="19"/>
      <c r="R43" s="2" t="s">
        <v>5</v>
      </c>
      <c r="S43" s="19"/>
      <c r="T43" s="2" t="s">
        <v>5</v>
      </c>
      <c r="U43" s="19"/>
      <c r="V43" s="2" t="s">
        <v>5</v>
      </c>
      <c r="W43" s="19"/>
      <c r="X43" s="2" t="s">
        <v>5</v>
      </c>
      <c r="Y43" s="19"/>
      <c r="Z43" s="2" t="s">
        <v>5</v>
      </c>
      <c r="AA43" s="19"/>
      <c r="AB43" s="2" t="s">
        <v>5</v>
      </c>
      <c r="AC43" s="19"/>
      <c r="AD43" s="2" t="s">
        <v>5</v>
      </c>
      <c r="AE43" s="19"/>
      <c r="AF43" s="215" t="s">
        <v>5</v>
      </c>
      <c r="AG43" s="70"/>
      <c r="AH43" s="215" t="s">
        <v>5</v>
      </c>
      <c r="AI43" s="70"/>
      <c r="AJ43" s="70"/>
      <c r="AK43" s="19"/>
      <c r="AL43" s="2" t="s">
        <v>5</v>
      </c>
      <c r="AM43" s="19"/>
      <c r="AO43" s="60" t="s">
        <v>38</v>
      </c>
      <c r="AP43" s="34" t="s">
        <v>284</v>
      </c>
      <c r="AQ43" s="34" t="s">
        <v>284</v>
      </c>
      <c r="AR43" s="34" t="s">
        <v>284</v>
      </c>
      <c r="AS43" s="34" t="s">
        <v>284</v>
      </c>
      <c r="AT43" s="34" t="s">
        <v>284</v>
      </c>
      <c r="AU43" s="34" t="s">
        <v>284</v>
      </c>
      <c r="AV43" s="34" t="s">
        <v>284</v>
      </c>
      <c r="AW43" s="34" t="s">
        <v>284</v>
      </c>
      <c r="AX43" s="221"/>
      <c r="AY43" s="34"/>
      <c r="AZ43" s="34"/>
      <c r="BA43" s="58"/>
    </row>
    <row r="44" spans="2:71" x14ac:dyDescent="0.25">
      <c r="B44" s="2" t="s">
        <v>4</v>
      </c>
      <c r="C44" s="19"/>
      <c r="D44" s="2" t="s">
        <v>4</v>
      </c>
      <c r="E44" s="19"/>
      <c r="F44" s="2" t="s">
        <v>4</v>
      </c>
      <c r="G44" s="19"/>
      <c r="H44" s="2" t="s">
        <v>4</v>
      </c>
      <c r="I44" s="19"/>
      <c r="J44" s="2" t="s">
        <v>4</v>
      </c>
      <c r="K44" s="19"/>
      <c r="L44" s="2" t="s">
        <v>4</v>
      </c>
      <c r="M44" s="19"/>
      <c r="N44" s="2" t="s">
        <v>4</v>
      </c>
      <c r="O44" s="19"/>
      <c r="P44" s="2" t="s">
        <v>4</v>
      </c>
      <c r="Q44" s="19"/>
      <c r="R44" s="2" t="s">
        <v>4</v>
      </c>
      <c r="S44" s="19"/>
      <c r="T44" s="2" t="s">
        <v>4</v>
      </c>
      <c r="U44" s="19"/>
      <c r="V44" s="2" t="s">
        <v>4</v>
      </c>
      <c r="W44" s="19"/>
      <c r="X44" s="2" t="s">
        <v>4</v>
      </c>
      <c r="Y44" s="19"/>
      <c r="Z44" s="2" t="s">
        <v>4</v>
      </c>
      <c r="AA44" s="19"/>
      <c r="AB44" s="2" t="s">
        <v>4</v>
      </c>
      <c r="AC44" s="19"/>
      <c r="AD44" s="2" t="s">
        <v>4</v>
      </c>
      <c r="AE44" s="19"/>
      <c r="AF44" s="218" t="s">
        <v>4</v>
      </c>
      <c r="AG44" s="70"/>
      <c r="AH44" s="218" t="s">
        <v>4</v>
      </c>
      <c r="AI44" s="70"/>
      <c r="AJ44" s="70"/>
      <c r="AK44" s="19"/>
      <c r="AL44" s="2" t="s">
        <v>4</v>
      </c>
      <c r="AM44" s="19"/>
      <c r="AO44" s="60" t="s">
        <v>39</v>
      </c>
      <c r="AP44" s="34" t="s">
        <v>284</v>
      </c>
      <c r="AQ44" s="34" t="s">
        <v>284</v>
      </c>
      <c r="AR44" s="34" t="s">
        <v>284</v>
      </c>
      <c r="AS44" s="34" t="s">
        <v>284</v>
      </c>
      <c r="AT44" s="34" t="s">
        <v>284</v>
      </c>
      <c r="AU44" s="34" t="s">
        <v>284</v>
      </c>
      <c r="AV44" s="34" t="s">
        <v>284</v>
      </c>
      <c r="AW44" s="34" t="s">
        <v>284</v>
      </c>
      <c r="AX44" s="221"/>
      <c r="AY44" s="34"/>
      <c r="AZ44" s="34"/>
      <c r="BA44" s="58"/>
    </row>
    <row r="45" spans="2:71" x14ac:dyDescent="0.25">
      <c r="B45" s="2" t="s">
        <v>30</v>
      </c>
      <c r="C45" s="19"/>
      <c r="D45" s="2" t="s">
        <v>30</v>
      </c>
      <c r="E45" s="19"/>
      <c r="F45" s="2" t="s">
        <v>30</v>
      </c>
      <c r="G45" s="19"/>
      <c r="H45" s="2" t="s">
        <v>30</v>
      </c>
      <c r="I45" s="19"/>
      <c r="J45" s="2" t="s">
        <v>30</v>
      </c>
      <c r="K45" s="19"/>
      <c r="L45" s="2" t="s">
        <v>30</v>
      </c>
      <c r="M45" s="19"/>
      <c r="N45" s="2" t="s">
        <v>30</v>
      </c>
      <c r="O45" s="19"/>
      <c r="P45" s="2" t="s">
        <v>129</v>
      </c>
      <c r="Q45" s="19"/>
      <c r="R45" s="2" t="s">
        <v>30</v>
      </c>
      <c r="S45" s="19"/>
      <c r="T45" s="2" t="s">
        <v>30</v>
      </c>
      <c r="U45" s="19"/>
      <c r="V45" s="2" t="s">
        <v>30</v>
      </c>
      <c r="W45" s="19"/>
      <c r="X45" s="2" t="s">
        <v>30</v>
      </c>
      <c r="Y45" s="19"/>
      <c r="Z45" s="2" t="s">
        <v>30</v>
      </c>
      <c r="AA45" s="19"/>
      <c r="AB45" s="2" t="s">
        <v>30</v>
      </c>
      <c r="AC45" s="19"/>
      <c r="AD45" s="2" t="s">
        <v>30</v>
      </c>
      <c r="AE45" s="19"/>
      <c r="AF45" s="19"/>
      <c r="AG45" s="70"/>
      <c r="AH45" s="70"/>
      <c r="AI45" s="70"/>
      <c r="AJ45" s="70"/>
      <c r="AK45" s="19"/>
      <c r="AL45" s="2" t="s">
        <v>129</v>
      </c>
      <c r="AM45" s="19"/>
      <c r="AO45" s="60" t="s">
        <v>41</v>
      </c>
      <c r="AP45" s="34" t="s">
        <v>284</v>
      </c>
      <c r="AQ45" s="34" t="s">
        <v>284</v>
      </c>
      <c r="AR45" s="34" t="s">
        <v>284</v>
      </c>
      <c r="AS45" s="34" t="s">
        <v>284</v>
      </c>
      <c r="AT45" s="34" t="s">
        <v>284</v>
      </c>
      <c r="AU45" s="34" t="s">
        <v>284</v>
      </c>
      <c r="AV45" s="34" t="s">
        <v>284</v>
      </c>
      <c r="AW45" s="34" t="s">
        <v>284</v>
      </c>
      <c r="AX45" s="221"/>
      <c r="AY45" s="34"/>
      <c r="AZ45" s="34"/>
      <c r="BA45" s="58"/>
    </row>
    <row r="46" spans="2:71" x14ac:dyDescent="0.25">
      <c r="B46" s="2"/>
      <c r="C46" s="19"/>
      <c r="D46" s="2"/>
      <c r="E46" s="19"/>
      <c r="F46" s="2"/>
      <c r="G46" s="19"/>
      <c r="H46" s="2"/>
      <c r="I46" s="19"/>
      <c r="J46" s="2"/>
      <c r="K46" s="19"/>
      <c r="L46" s="2"/>
      <c r="M46" s="19"/>
      <c r="N46" s="2"/>
      <c r="O46" s="19"/>
      <c r="P46" s="2" t="s">
        <v>30</v>
      </c>
      <c r="Q46" s="19"/>
      <c r="R46" s="2"/>
      <c r="S46" s="19"/>
      <c r="T46" s="2"/>
      <c r="U46" s="19"/>
      <c r="V46" s="2"/>
      <c r="W46" s="19"/>
      <c r="X46" s="2"/>
      <c r="Y46" s="19"/>
      <c r="Z46" s="2"/>
      <c r="AA46" s="19"/>
      <c r="AB46" s="2"/>
      <c r="AC46" s="19"/>
      <c r="AD46" s="2"/>
      <c r="AE46" s="19"/>
      <c r="AF46" s="19"/>
      <c r="AG46" s="70"/>
      <c r="AH46" s="70"/>
      <c r="AI46" s="70"/>
      <c r="AJ46" s="70"/>
      <c r="AK46" s="19"/>
      <c r="AL46" s="2" t="s">
        <v>30</v>
      </c>
      <c r="AM46" s="19"/>
      <c r="AO46" s="60" t="s">
        <v>42</v>
      </c>
      <c r="AP46" s="34" t="s">
        <v>10</v>
      </c>
      <c r="AQ46" s="34" t="s">
        <v>10</v>
      </c>
      <c r="AR46" s="34" t="s">
        <v>10</v>
      </c>
      <c r="AS46" s="34" t="s">
        <v>10</v>
      </c>
      <c r="AT46" s="34" t="s">
        <v>10</v>
      </c>
      <c r="AU46" s="34" t="s">
        <v>10</v>
      </c>
      <c r="AV46" s="34" t="s">
        <v>10</v>
      </c>
      <c r="AW46" s="34" t="s">
        <v>10</v>
      </c>
      <c r="AX46" s="221"/>
      <c r="AY46" s="34"/>
      <c r="AZ46" s="34"/>
      <c r="BA46" s="58"/>
    </row>
    <row r="47" spans="2:71" x14ac:dyDescent="0.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70"/>
      <c r="AH47" s="70"/>
      <c r="AI47" s="70"/>
      <c r="AJ47" s="70"/>
      <c r="AK47" s="19"/>
      <c r="AL47" s="19"/>
      <c r="AM47" s="19"/>
      <c r="AN47" s="19"/>
      <c r="AO47" s="60" t="s">
        <v>43</v>
      </c>
      <c r="AP47" s="34" t="s">
        <v>10</v>
      </c>
      <c r="AQ47" s="34" t="s">
        <v>10</v>
      </c>
      <c r="AR47" s="34" t="s">
        <v>10</v>
      </c>
      <c r="AS47" s="34" t="s">
        <v>10</v>
      </c>
      <c r="AT47" s="34" t="s">
        <v>10</v>
      </c>
      <c r="AU47" s="34" t="s">
        <v>10</v>
      </c>
      <c r="AV47" s="34" t="s">
        <v>10</v>
      </c>
      <c r="AW47" s="34" t="s">
        <v>10</v>
      </c>
      <c r="AX47" s="221"/>
      <c r="AY47" s="34"/>
      <c r="AZ47" s="34"/>
      <c r="BA47" s="58"/>
    </row>
    <row r="48" spans="2:71" ht="15.75" x14ac:dyDescent="0.25">
      <c r="B48" s="490" t="s">
        <v>221</v>
      </c>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19"/>
      <c r="AO48" s="60" t="s">
        <v>44</v>
      </c>
      <c r="AP48" s="34" t="s">
        <v>284</v>
      </c>
      <c r="AQ48" s="34" t="s">
        <v>284</v>
      </c>
      <c r="AR48" s="34" t="s">
        <v>284</v>
      </c>
      <c r="AS48" s="34" t="s">
        <v>284</v>
      </c>
      <c r="AT48" s="34" t="s">
        <v>284</v>
      </c>
      <c r="AU48" s="34" t="s">
        <v>284</v>
      </c>
      <c r="AV48" s="34" t="s">
        <v>284</v>
      </c>
      <c r="AW48" s="34" t="s">
        <v>284</v>
      </c>
      <c r="AX48" s="221"/>
      <c r="AY48" s="34"/>
      <c r="AZ48" s="34"/>
      <c r="BA48" s="58"/>
    </row>
    <row r="49" spans="2:53" x14ac:dyDescent="0.25">
      <c r="B49" s="2" t="s">
        <v>99</v>
      </c>
      <c r="C49" s="19"/>
      <c r="D49" s="2" t="s">
        <v>101</v>
      </c>
      <c r="E49" s="19"/>
      <c r="F49" s="2" t="s">
        <v>100</v>
      </c>
      <c r="G49" s="19"/>
      <c r="H49" s="2" t="s">
        <v>102</v>
      </c>
      <c r="I49" s="19"/>
      <c r="J49" s="2" t="s">
        <v>103</v>
      </c>
      <c r="K49" s="19"/>
      <c r="L49" s="2" t="s">
        <v>104</v>
      </c>
      <c r="M49" s="19"/>
      <c r="N49" s="2" t="s">
        <v>105</v>
      </c>
      <c r="O49" s="19"/>
      <c r="P49" s="2" t="s">
        <v>106</v>
      </c>
      <c r="Q49" s="19"/>
      <c r="R49" s="2" t="s">
        <v>107</v>
      </c>
      <c r="S49" s="19"/>
      <c r="T49" s="2" t="s">
        <v>108</v>
      </c>
      <c r="U49" s="19"/>
      <c r="V49" s="2" t="s">
        <v>109</v>
      </c>
      <c r="W49" s="19"/>
      <c r="X49" s="2" t="s">
        <v>110</v>
      </c>
      <c r="Y49" s="19"/>
      <c r="Z49" s="2" t="s">
        <v>111</v>
      </c>
      <c r="AA49" s="19"/>
      <c r="AB49" s="2" t="s">
        <v>112</v>
      </c>
      <c r="AC49" s="19"/>
      <c r="AD49" s="2" t="s">
        <v>113</v>
      </c>
      <c r="AE49" s="19"/>
      <c r="AF49" s="19" t="s">
        <v>470</v>
      </c>
      <c r="AG49" s="70"/>
      <c r="AH49" s="2" t="s">
        <v>495</v>
      </c>
      <c r="AI49" s="70"/>
      <c r="AJ49" s="2" t="s">
        <v>496</v>
      </c>
      <c r="AK49" s="19"/>
      <c r="AL49" s="2" t="s">
        <v>175</v>
      </c>
      <c r="AM49" s="19"/>
      <c r="AO49" s="60" t="s">
        <v>45</v>
      </c>
      <c r="AP49" s="34" t="s">
        <v>236</v>
      </c>
      <c r="AQ49" s="34" t="s">
        <v>236</v>
      </c>
      <c r="AR49" s="34" t="s">
        <v>237</v>
      </c>
      <c r="AS49" s="34" t="s">
        <v>238</v>
      </c>
      <c r="AT49" s="34" t="s">
        <v>237</v>
      </c>
      <c r="AU49" s="34" t="s">
        <v>238</v>
      </c>
      <c r="AV49" s="34" t="s">
        <v>178</v>
      </c>
      <c r="AW49" s="34" t="s">
        <v>22</v>
      </c>
      <c r="AX49" s="221"/>
      <c r="AY49" s="34"/>
      <c r="AZ49" s="34"/>
      <c r="BA49" s="58"/>
    </row>
    <row r="50" spans="2:53" x14ac:dyDescent="0.25">
      <c r="B50" s="114">
        <v>60</v>
      </c>
      <c r="C50" s="19"/>
      <c r="D50" s="114">
        <v>60</v>
      </c>
      <c r="E50" s="19"/>
      <c r="F50" s="114">
        <v>60</v>
      </c>
      <c r="G50" s="19"/>
      <c r="H50" s="114">
        <v>60</v>
      </c>
      <c r="I50" s="19"/>
      <c r="J50" s="114">
        <v>60</v>
      </c>
      <c r="K50" s="19"/>
      <c r="L50" s="114">
        <v>60</v>
      </c>
      <c r="M50" s="19"/>
      <c r="N50" s="114">
        <v>60</v>
      </c>
      <c r="O50" s="19"/>
      <c r="P50" s="114">
        <v>60</v>
      </c>
      <c r="Q50" s="19"/>
      <c r="R50" s="114">
        <v>60</v>
      </c>
      <c r="S50" s="19"/>
      <c r="T50" s="114">
        <v>60</v>
      </c>
      <c r="U50" s="19"/>
      <c r="V50" s="114">
        <v>60</v>
      </c>
      <c r="W50" s="19"/>
      <c r="X50" s="114">
        <v>60</v>
      </c>
      <c r="Y50" s="19"/>
      <c r="Z50" s="114">
        <v>60</v>
      </c>
      <c r="AA50" s="19"/>
      <c r="AB50" s="114">
        <v>60</v>
      </c>
      <c r="AC50" s="19"/>
      <c r="AD50" s="114">
        <v>60</v>
      </c>
      <c r="AE50" s="19"/>
      <c r="AF50" s="202">
        <v>80</v>
      </c>
      <c r="AG50" s="217"/>
      <c r="AH50" s="114">
        <v>60</v>
      </c>
      <c r="AI50" s="70"/>
      <c r="AJ50" s="114">
        <v>60</v>
      </c>
      <c r="AK50" s="19"/>
      <c r="AL50" s="114">
        <v>60</v>
      </c>
      <c r="AM50" s="19"/>
      <c r="AO50" s="60" t="s">
        <v>46</v>
      </c>
      <c r="AP50" s="34" t="s">
        <v>236</v>
      </c>
      <c r="AQ50" s="34" t="s">
        <v>236</v>
      </c>
      <c r="AR50" s="34" t="s">
        <v>237</v>
      </c>
      <c r="AS50" s="34" t="s">
        <v>238</v>
      </c>
      <c r="AT50" s="34" t="s">
        <v>237</v>
      </c>
      <c r="AU50" s="34" t="s">
        <v>238</v>
      </c>
      <c r="AV50" s="34" t="s">
        <v>178</v>
      </c>
      <c r="AW50" s="34" t="s">
        <v>22</v>
      </c>
      <c r="AX50" s="221"/>
      <c r="AY50" s="34"/>
      <c r="AZ50" s="34"/>
      <c r="BA50" s="58"/>
    </row>
    <row r="51" spans="2:53" x14ac:dyDescent="0.25">
      <c r="B51" s="114">
        <v>80</v>
      </c>
      <c r="C51" s="19"/>
      <c r="D51" s="114">
        <v>80</v>
      </c>
      <c r="E51" s="19"/>
      <c r="F51" s="114">
        <v>80</v>
      </c>
      <c r="G51" s="19"/>
      <c r="H51" s="114">
        <v>80</v>
      </c>
      <c r="I51" s="19"/>
      <c r="J51" s="114">
        <v>80</v>
      </c>
      <c r="K51" s="19"/>
      <c r="L51" s="114">
        <v>80</v>
      </c>
      <c r="M51" s="19"/>
      <c r="N51" s="114">
        <v>80</v>
      </c>
      <c r="O51" s="19"/>
      <c r="P51" s="114">
        <v>80</v>
      </c>
      <c r="Q51" s="19"/>
      <c r="R51" s="114">
        <v>80</v>
      </c>
      <c r="S51" s="19"/>
      <c r="T51" s="114">
        <v>80</v>
      </c>
      <c r="U51" s="19"/>
      <c r="V51" s="114">
        <v>80</v>
      </c>
      <c r="W51" s="19"/>
      <c r="X51" s="114">
        <v>80</v>
      </c>
      <c r="Y51" s="19"/>
      <c r="Z51" s="114">
        <v>80</v>
      </c>
      <c r="AA51" s="19"/>
      <c r="AB51" s="114">
        <v>80</v>
      </c>
      <c r="AC51" s="19"/>
      <c r="AD51" s="114">
        <v>80</v>
      </c>
      <c r="AE51" s="19"/>
      <c r="AF51" s="19"/>
      <c r="AG51" s="70"/>
      <c r="AH51" s="114">
        <v>80</v>
      </c>
      <c r="AI51" s="70"/>
      <c r="AJ51" s="114">
        <v>80</v>
      </c>
      <c r="AK51" s="19"/>
      <c r="AL51" s="114">
        <v>80</v>
      </c>
      <c r="AM51" s="19"/>
      <c r="AO51" s="60" t="s">
        <v>47</v>
      </c>
      <c r="AP51" s="34" t="s">
        <v>284</v>
      </c>
      <c r="AQ51" s="34" t="s">
        <v>284</v>
      </c>
      <c r="AR51" s="34" t="s">
        <v>284</v>
      </c>
      <c r="AS51" s="34" t="s">
        <v>284</v>
      </c>
      <c r="AT51" s="34" t="s">
        <v>284</v>
      </c>
      <c r="AU51" s="34" t="s">
        <v>284</v>
      </c>
      <c r="AV51" s="34" t="s">
        <v>284</v>
      </c>
      <c r="AW51" s="34" t="s">
        <v>284</v>
      </c>
      <c r="AX51" s="221"/>
      <c r="AY51" s="34"/>
      <c r="AZ51" s="34"/>
      <c r="BA51" s="58"/>
    </row>
    <row r="52" spans="2:53" x14ac:dyDescent="0.25">
      <c r="B52" s="114">
        <v>100</v>
      </c>
      <c r="C52" s="19"/>
      <c r="D52" s="114">
        <v>100</v>
      </c>
      <c r="E52" s="19"/>
      <c r="F52" s="114">
        <v>100</v>
      </c>
      <c r="G52" s="19"/>
      <c r="H52" s="114">
        <v>100</v>
      </c>
      <c r="I52" s="19"/>
      <c r="J52" s="114">
        <v>100</v>
      </c>
      <c r="K52" s="19"/>
      <c r="L52" s="114">
        <v>100</v>
      </c>
      <c r="M52" s="19"/>
      <c r="N52" s="2"/>
      <c r="O52" s="19"/>
      <c r="P52" s="114">
        <v>100</v>
      </c>
      <c r="Q52" s="19"/>
      <c r="R52" s="2"/>
      <c r="S52" s="19"/>
      <c r="T52" s="2"/>
      <c r="U52" s="19"/>
      <c r="V52" s="2"/>
      <c r="W52" s="19"/>
      <c r="X52" s="2"/>
      <c r="Y52" s="19"/>
      <c r="Z52" s="114">
        <v>100</v>
      </c>
      <c r="AA52" s="19"/>
      <c r="AB52" s="114">
        <v>100</v>
      </c>
      <c r="AC52" s="19"/>
      <c r="AD52" s="2"/>
      <c r="AE52" s="19"/>
      <c r="AF52" s="19"/>
      <c r="AG52" s="70"/>
      <c r="AH52" s="70"/>
      <c r="AI52" s="70"/>
      <c r="AJ52" s="70"/>
      <c r="AK52" s="19"/>
      <c r="AL52" s="114">
        <v>100</v>
      </c>
      <c r="AM52" s="19"/>
      <c r="AO52" s="60" t="s">
        <v>475</v>
      </c>
      <c r="AP52" s="34" t="s">
        <v>284</v>
      </c>
      <c r="AQ52" s="34" t="s">
        <v>284</v>
      </c>
      <c r="AR52" s="34" t="s">
        <v>284</v>
      </c>
      <c r="AS52" s="34" t="s">
        <v>284</v>
      </c>
      <c r="AT52" s="34" t="s">
        <v>284</v>
      </c>
      <c r="AU52" s="34" t="s">
        <v>284</v>
      </c>
      <c r="AV52" s="34" t="s">
        <v>284</v>
      </c>
      <c r="AW52" s="34" t="s">
        <v>284</v>
      </c>
      <c r="AX52" s="221" t="s">
        <v>510</v>
      </c>
      <c r="AY52" s="34" t="s">
        <v>510</v>
      </c>
      <c r="AZ52" s="34" t="s">
        <v>510</v>
      </c>
      <c r="BA52" s="58" t="s">
        <v>510</v>
      </c>
    </row>
    <row r="53" spans="2:53" x14ac:dyDescent="0.25">
      <c r="B53" s="114">
        <v>120</v>
      </c>
      <c r="C53" s="19"/>
      <c r="D53" s="114">
        <v>120</v>
      </c>
      <c r="E53" s="19"/>
      <c r="F53" s="114">
        <v>120</v>
      </c>
      <c r="G53" s="19"/>
      <c r="H53" s="114">
        <v>120</v>
      </c>
      <c r="I53" s="19"/>
      <c r="J53" s="114">
        <v>120</v>
      </c>
      <c r="K53" s="19"/>
      <c r="L53" s="114">
        <v>120</v>
      </c>
      <c r="M53" s="19"/>
      <c r="N53" s="2"/>
      <c r="O53" s="19"/>
      <c r="P53" s="114">
        <v>120</v>
      </c>
      <c r="Q53" s="19"/>
      <c r="R53" s="2"/>
      <c r="S53" s="19"/>
      <c r="T53" s="2"/>
      <c r="U53" s="19"/>
      <c r="V53" s="2"/>
      <c r="W53" s="19"/>
      <c r="X53" s="2"/>
      <c r="Y53" s="19"/>
      <c r="Z53" s="114">
        <v>120</v>
      </c>
      <c r="AA53" s="19"/>
      <c r="AB53" s="114">
        <v>120</v>
      </c>
      <c r="AC53" s="19"/>
      <c r="AD53" s="2"/>
      <c r="AE53" s="19"/>
      <c r="AF53" s="19"/>
      <c r="AG53" s="70"/>
      <c r="AH53" s="70"/>
      <c r="AI53" s="70"/>
      <c r="AJ53" s="70"/>
      <c r="AK53" s="19"/>
      <c r="AL53" s="114">
        <v>120</v>
      </c>
      <c r="AM53" s="19"/>
      <c r="AO53" s="61" t="s">
        <v>476</v>
      </c>
      <c r="AP53" s="35" t="s">
        <v>284</v>
      </c>
      <c r="AQ53" s="35" t="s">
        <v>284</v>
      </c>
      <c r="AR53" s="35" t="s">
        <v>284</v>
      </c>
      <c r="AS53" s="35" t="s">
        <v>284</v>
      </c>
      <c r="AT53" s="35" t="s">
        <v>284</v>
      </c>
      <c r="AU53" s="35" t="s">
        <v>284</v>
      </c>
      <c r="AV53" s="35" t="s">
        <v>284</v>
      </c>
      <c r="AW53" s="35" t="s">
        <v>284</v>
      </c>
      <c r="AX53" s="222" t="s">
        <v>276</v>
      </c>
      <c r="AY53" s="35" t="s">
        <v>276</v>
      </c>
      <c r="AZ53" s="35" t="s">
        <v>276</v>
      </c>
      <c r="BA53" s="59" t="s">
        <v>276</v>
      </c>
    </row>
    <row r="54" spans="2:53" x14ac:dyDescent="0.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70"/>
      <c r="AH54" s="70"/>
      <c r="AI54" s="70"/>
      <c r="AJ54" s="70"/>
      <c r="AK54" s="19"/>
      <c r="AL54" s="19"/>
      <c r="AM54" s="19"/>
      <c r="AO54" s="2"/>
      <c r="AP54" s="2"/>
      <c r="AQ54" s="2"/>
      <c r="AR54" s="2"/>
      <c r="AS54" s="2"/>
      <c r="AT54" s="2"/>
      <c r="AU54" s="2"/>
      <c r="AV54" s="2"/>
      <c r="AW54" s="2"/>
      <c r="AX54" s="219"/>
      <c r="AY54" s="219"/>
      <c r="AZ54" s="219"/>
      <c r="BA54" s="219"/>
    </row>
    <row r="55" spans="2:53" ht="15.75" x14ac:dyDescent="0.25">
      <c r="B55" s="490" t="s">
        <v>222</v>
      </c>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19"/>
      <c r="AO55" s="65" t="s">
        <v>215</v>
      </c>
      <c r="AP55" s="62" t="s">
        <v>14</v>
      </c>
      <c r="AQ55" s="62" t="s">
        <v>15</v>
      </c>
      <c r="AR55" s="62" t="s">
        <v>16</v>
      </c>
      <c r="AS55" s="62" t="s">
        <v>17</v>
      </c>
      <c r="AT55" s="62" t="s">
        <v>18</v>
      </c>
      <c r="AU55" s="62" t="s">
        <v>19</v>
      </c>
      <c r="AV55" s="62" t="s">
        <v>20</v>
      </c>
      <c r="AW55" s="63" t="s">
        <v>21</v>
      </c>
      <c r="AX55" s="62" t="s">
        <v>484</v>
      </c>
      <c r="AY55" s="62" t="s">
        <v>485</v>
      </c>
      <c r="AZ55" s="62" t="s">
        <v>486</v>
      </c>
      <c r="BA55" s="63" t="s">
        <v>487</v>
      </c>
    </row>
    <row r="56" spans="2:53" x14ac:dyDescent="0.25">
      <c r="B56" s="2" t="s">
        <v>137</v>
      </c>
      <c r="C56" s="19"/>
      <c r="D56" s="2" t="s">
        <v>139</v>
      </c>
      <c r="E56" s="19"/>
      <c r="F56" s="2" t="s">
        <v>138</v>
      </c>
      <c r="G56" s="19"/>
      <c r="H56" s="2" t="s">
        <v>140</v>
      </c>
      <c r="I56" s="19"/>
      <c r="J56" s="2" t="s">
        <v>141</v>
      </c>
      <c r="K56" s="19"/>
      <c r="L56" s="2" t="s">
        <v>142</v>
      </c>
      <c r="M56" s="19"/>
      <c r="N56" s="2" t="s">
        <v>143</v>
      </c>
      <c r="O56" s="19"/>
      <c r="P56" s="2" t="s">
        <v>144</v>
      </c>
      <c r="Q56" s="19"/>
      <c r="R56" s="2" t="s">
        <v>145</v>
      </c>
      <c r="S56" s="19"/>
      <c r="T56" s="2" t="s">
        <v>146</v>
      </c>
      <c r="U56" s="19"/>
      <c r="V56" s="2" t="s">
        <v>147</v>
      </c>
      <c r="W56" s="19"/>
      <c r="X56" s="2" t="s">
        <v>151</v>
      </c>
      <c r="Y56" s="19"/>
      <c r="Z56" s="2" t="s">
        <v>148</v>
      </c>
      <c r="AA56" s="19"/>
      <c r="AB56" s="2" t="s">
        <v>149</v>
      </c>
      <c r="AC56" s="19"/>
      <c r="AD56" s="2" t="s">
        <v>150</v>
      </c>
      <c r="AE56" s="19"/>
      <c r="AF56" s="19"/>
      <c r="AG56" s="70"/>
      <c r="AH56" s="70"/>
      <c r="AI56" s="70"/>
      <c r="AJ56" s="70"/>
      <c r="AK56" s="19"/>
      <c r="AL56" s="2" t="s">
        <v>177</v>
      </c>
      <c r="AM56" s="19"/>
      <c r="AO56" s="60" t="s">
        <v>38</v>
      </c>
      <c r="AP56" s="34" t="s">
        <v>284</v>
      </c>
      <c r="AQ56" s="34" t="s">
        <v>284</v>
      </c>
      <c r="AR56" s="34" t="s">
        <v>284</v>
      </c>
      <c r="AS56" s="34" t="s">
        <v>284</v>
      </c>
      <c r="AT56" s="34" t="s">
        <v>284</v>
      </c>
      <c r="AU56" s="34" t="s">
        <v>284</v>
      </c>
      <c r="AV56" s="34" t="s">
        <v>284</v>
      </c>
      <c r="AW56" s="58" t="s">
        <v>284</v>
      </c>
      <c r="AX56" s="34"/>
      <c r="AY56" s="34"/>
      <c r="AZ56" s="34"/>
      <c r="BA56" s="58"/>
    </row>
    <row r="57" spans="2:53" x14ac:dyDescent="0.25">
      <c r="B57" s="2"/>
      <c r="C57" s="19"/>
      <c r="D57" s="2"/>
      <c r="E57" s="19"/>
      <c r="F57" s="2"/>
      <c r="G57" s="19"/>
      <c r="H57" s="2"/>
      <c r="I57" s="19"/>
      <c r="J57" s="2"/>
      <c r="K57" s="19"/>
      <c r="L57" s="2"/>
      <c r="M57" s="19"/>
      <c r="N57" s="2"/>
      <c r="O57" s="19"/>
      <c r="P57" s="2"/>
      <c r="Q57" s="19"/>
      <c r="R57" s="2"/>
      <c r="S57" s="19"/>
      <c r="T57" s="2"/>
      <c r="U57" s="19"/>
      <c r="V57" s="2"/>
      <c r="W57" s="19"/>
      <c r="X57" s="2"/>
      <c r="Y57" s="19"/>
      <c r="Z57" s="2"/>
      <c r="AA57" s="19"/>
      <c r="AB57" s="2"/>
      <c r="AC57" s="19"/>
      <c r="AD57" s="2"/>
      <c r="AE57" s="19"/>
      <c r="AF57" s="19"/>
      <c r="AG57" s="70"/>
      <c r="AH57" s="70"/>
      <c r="AI57" s="70"/>
      <c r="AJ57" s="70"/>
      <c r="AK57" s="19"/>
      <c r="AL57" s="2"/>
      <c r="AM57" s="19"/>
      <c r="AO57" s="60" t="s">
        <v>39</v>
      </c>
      <c r="AP57" s="34" t="s">
        <v>284</v>
      </c>
      <c r="AQ57" s="34" t="s">
        <v>284</v>
      </c>
      <c r="AR57" s="34" t="s">
        <v>284</v>
      </c>
      <c r="AS57" s="34" t="s">
        <v>284</v>
      </c>
      <c r="AT57" s="34" t="s">
        <v>284</v>
      </c>
      <c r="AU57" s="34" t="s">
        <v>284</v>
      </c>
      <c r="AV57" s="34" t="s">
        <v>284</v>
      </c>
      <c r="AW57" s="58" t="s">
        <v>284</v>
      </c>
      <c r="AX57" s="34"/>
      <c r="AY57" s="34"/>
      <c r="AZ57" s="34"/>
      <c r="BA57" s="58"/>
    </row>
    <row r="58" spans="2:53" x14ac:dyDescent="0.25">
      <c r="B58" s="2" t="s">
        <v>168</v>
      </c>
      <c r="C58" s="19"/>
      <c r="D58" s="2" t="s">
        <v>168</v>
      </c>
      <c r="E58" s="19"/>
      <c r="F58" s="2" t="s">
        <v>168</v>
      </c>
      <c r="G58" s="19"/>
      <c r="H58" s="2" t="s">
        <v>168</v>
      </c>
      <c r="I58" s="19"/>
      <c r="J58" s="2" t="s">
        <v>168</v>
      </c>
      <c r="K58" s="19"/>
      <c r="L58" s="2" t="s">
        <v>168</v>
      </c>
      <c r="M58" s="19"/>
      <c r="N58" s="2" t="s">
        <v>168</v>
      </c>
      <c r="O58" s="19"/>
      <c r="P58" s="2" t="s">
        <v>168</v>
      </c>
      <c r="Q58" s="19"/>
      <c r="R58" s="2" t="s">
        <v>168</v>
      </c>
      <c r="S58" s="19"/>
      <c r="T58" s="2" t="s">
        <v>168</v>
      </c>
      <c r="U58" s="19"/>
      <c r="V58" s="2" t="s">
        <v>168</v>
      </c>
      <c r="W58" s="19"/>
      <c r="X58" s="2" t="s">
        <v>168</v>
      </c>
      <c r="Y58" s="19"/>
      <c r="Z58" s="2" t="s">
        <v>168</v>
      </c>
      <c r="AA58" s="19"/>
      <c r="AB58" s="2" t="s">
        <v>168</v>
      </c>
      <c r="AC58" s="19"/>
      <c r="AD58" s="2" t="s">
        <v>168</v>
      </c>
      <c r="AE58" s="19"/>
      <c r="AF58" s="19"/>
      <c r="AG58" s="70"/>
      <c r="AH58" s="70"/>
      <c r="AI58" s="70"/>
      <c r="AJ58" s="70"/>
      <c r="AK58" s="19"/>
      <c r="AL58" s="2" t="s">
        <v>225</v>
      </c>
      <c r="AM58" s="19"/>
      <c r="AO58" s="60" t="s">
        <v>41</v>
      </c>
      <c r="AP58" s="34" t="s">
        <v>284</v>
      </c>
      <c r="AQ58" s="34" t="s">
        <v>284</v>
      </c>
      <c r="AR58" s="34" t="s">
        <v>284</v>
      </c>
      <c r="AS58" s="34" t="s">
        <v>284</v>
      </c>
      <c r="AT58" s="34" t="s">
        <v>284</v>
      </c>
      <c r="AU58" s="34" t="s">
        <v>284</v>
      </c>
      <c r="AV58" s="34" t="s">
        <v>284</v>
      </c>
      <c r="AW58" s="58" t="s">
        <v>284</v>
      </c>
      <c r="AX58" s="34"/>
      <c r="AY58" s="34"/>
      <c r="AZ58" s="34"/>
      <c r="BA58" s="58"/>
    </row>
    <row r="59" spans="2:53" x14ac:dyDescent="0.25">
      <c r="B59" s="2" t="s">
        <v>169</v>
      </c>
      <c r="C59" s="19"/>
      <c r="D59" s="2" t="s">
        <v>169</v>
      </c>
      <c r="E59" s="19"/>
      <c r="F59" s="2"/>
      <c r="G59" s="19"/>
      <c r="H59" s="2" t="s">
        <v>169</v>
      </c>
      <c r="I59" s="19"/>
      <c r="J59" s="2" t="s">
        <v>169</v>
      </c>
      <c r="K59" s="19"/>
      <c r="L59" s="2"/>
      <c r="M59" s="19"/>
      <c r="N59" s="2"/>
      <c r="O59" s="19"/>
      <c r="P59" s="2"/>
      <c r="Q59" s="19"/>
      <c r="R59" s="2"/>
      <c r="S59" s="19"/>
      <c r="T59" s="2"/>
      <c r="U59" s="19"/>
      <c r="V59" s="2"/>
      <c r="W59" s="19"/>
      <c r="X59" s="2"/>
      <c r="Y59" s="19"/>
      <c r="Z59" s="2"/>
      <c r="AA59" s="19"/>
      <c r="AB59" s="2"/>
      <c r="AC59" s="19"/>
      <c r="AD59" s="2"/>
      <c r="AE59" s="19"/>
      <c r="AF59" s="19"/>
      <c r="AG59" s="70"/>
      <c r="AH59" s="70"/>
      <c r="AI59" s="70"/>
      <c r="AJ59" s="70"/>
      <c r="AK59" s="19"/>
      <c r="AL59" s="2" t="s">
        <v>226</v>
      </c>
      <c r="AM59" s="19"/>
      <c r="AO59" s="60" t="s">
        <v>42</v>
      </c>
      <c r="AP59" s="34" t="s">
        <v>215</v>
      </c>
      <c r="AQ59" s="34" t="s">
        <v>215</v>
      </c>
      <c r="AR59" s="34" t="s">
        <v>215</v>
      </c>
      <c r="AS59" s="34" t="s">
        <v>215</v>
      </c>
      <c r="AT59" s="34" t="s">
        <v>215</v>
      </c>
      <c r="AU59" s="34" t="s">
        <v>215</v>
      </c>
      <c r="AV59" s="34" t="s">
        <v>215</v>
      </c>
      <c r="AW59" s="58" t="s">
        <v>215</v>
      </c>
      <c r="AX59" s="34"/>
      <c r="AY59" s="34"/>
      <c r="AZ59" s="34"/>
      <c r="BA59" s="58"/>
    </row>
    <row r="60" spans="2:53" x14ac:dyDescent="0.25">
      <c r="B60" s="2"/>
      <c r="C60" s="19"/>
      <c r="D60" s="2"/>
      <c r="E60" s="19"/>
      <c r="F60" s="2"/>
      <c r="G60" s="19"/>
      <c r="H60" s="2"/>
      <c r="I60" s="19"/>
      <c r="J60" s="2"/>
      <c r="K60" s="19"/>
      <c r="L60" s="2"/>
      <c r="M60" s="19"/>
      <c r="N60" s="2"/>
      <c r="O60" s="19"/>
      <c r="P60" s="2"/>
      <c r="Q60" s="19"/>
      <c r="R60" s="2"/>
      <c r="S60" s="19"/>
      <c r="T60" s="2"/>
      <c r="U60" s="19"/>
      <c r="V60" s="2"/>
      <c r="W60" s="19"/>
      <c r="X60" s="2"/>
      <c r="Y60" s="19"/>
      <c r="Z60" s="2"/>
      <c r="AA60" s="19"/>
      <c r="AB60" s="2"/>
      <c r="AC60" s="19"/>
      <c r="AD60" s="2"/>
      <c r="AE60" s="19"/>
      <c r="AF60" s="19"/>
      <c r="AG60" s="70"/>
      <c r="AH60" s="70"/>
      <c r="AI60" s="70"/>
      <c r="AJ60" s="70"/>
      <c r="AK60" s="19"/>
      <c r="AL60" s="19"/>
      <c r="AM60" s="19"/>
      <c r="AO60" s="60" t="s">
        <v>43</v>
      </c>
      <c r="AP60" s="34" t="s">
        <v>215</v>
      </c>
      <c r="AQ60" s="34" t="s">
        <v>215</v>
      </c>
      <c r="AR60" s="34" t="s">
        <v>215</v>
      </c>
      <c r="AS60" s="34" t="s">
        <v>215</v>
      </c>
      <c r="AT60" s="34" t="s">
        <v>215</v>
      </c>
      <c r="AU60" s="34" t="s">
        <v>215</v>
      </c>
      <c r="AV60" s="34" t="s">
        <v>215</v>
      </c>
      <c r="AW60" s="58" t="s">
        <v>215</v>
      </c>
      <c r="AX60" s="34"/>
      <c r="AY60" s="34"/>
      <c r="AZ60" s="34"/>
      <c r="BA60" s="58"/>
    </row>
    <row r="61" spans="2:53" ht="15.75" x14ac:dyDescent="0.25">
      <c r="B61" s="490" t="s">
        <v>223</v>
      </c>
      <c r="C61" s="490"/>
      <c r="D61" s="490"/>
      <c r="E61" s="490"/>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19"/>
      <c r="AO61" s="60" t="s">
        <v>44</v>
      </c>
      <c r="AP61" s="34"/>
      <c r="AQ61" s="34"/>
      <c r="AR61" s="34"/>
      <c r="AS61" s="34"/>
      <c r="AT61" s="34"/>
      <c r="AU61" s="34"/>
      <c r="AV61" s="34"/>
      <c r="AW61" s="58"/>
      <c r="AX61" s="34"/>
      <c r="AY61" s="34"/>
      <c r="AZ61" s="34"/>
      <c r="BA61" s="58"/>
    </row>
    <row r="62" spans="2:53" x14ac:dyDescent="0.25">
      <c r="B62" s="2" t="s">
        <v>152</v>
      </c>
      <c r="C62" s="19"/>
      <c r="D62" s="2" t="s">
        <v>153</v>
      </c>
      <c r="E62" s="19"/>
      <c r="F62" s="2" t="s">
        <v>154</v>
      </c>
      <c r="G62" s="19"/>
      <c r="H62" s="2" t="s">
        <v>155</v>
      </c>
      <c r="I62" s="19"/>
      <c r="J62" s="2" t="s">
        <v>156</v>
      </c>
      <c r="K62" s="19"/>
      <c r="L62" s="2" t="s">
        <v>157</v>
      </c>
      <c r="M62" s="19"/>
      <c r="N62" s="2" t="s">
        <v>158</v>
      </c>
      <c r="O62" s="19"/>
      <c r="P62" s="2" t="s">
        <v>159</v>
      </c>
      <c r="Q62" s="19"/>
      <c r="R62" s="2" t="s">
        <v>160</v>
      </c>
      <c r="S62" s="19"/>
      <c r="T62" s="2" t="s">
        <v>161</v>
      </c>
      <c r="U62" s="19"/>
      <c r="V62" s="2" t="s">
        <v>162</v>
      </c>
      <c r="W62" s="19"/>
      <c r="X62" s="2" t="s">
        <v>163</v>
      </c>
      <c r="Y62" s="19"/>
      <c r="Z62" s="2" t="s">
        <v>165</v>
      </c>
      <c r="AA62" s="19"/>
      <c r="AB62" s="2" t="s">
        <v>166</v>
      </c>
      <c r="AC62" s="19"/>
      <c r="AD62" s="2" t="s">
        <v>167</v>
      </c>
      <c r="AE62" s="19"/>
      <c r="AF62" s="2" t="s">
        <v>502</v>
      </c>
      <c r="AG62" s="70"/>
      <c r="AH62" s="2" t="s">
        <v>503</v>
      </c>
      <c r="AI62" s="70"/>
      <c r="AJ62" s="70"/>
      <c r="AK62" s="19"/>
      <c r="AL62" s="19"/>
      <c r="AM62" s="19"/>
      <c r="AO62" s="60" t="s">
        <v>45</v>
      </c>
      <c r="AP62" s="34" t="s">
        <v>22</v>
      </c>
      <c r="AQ62" s="34" t="s">
        <v>275</v>
      </c>
      <c r="AR62" s="34" t="s">
        <v>22</v>
      </c>
      <c r="AS62" s="34" t="s">
        <v>22</v>
      </c>
      <c r="AT62" s="34" t="s">
        <v>275</v>
      </c>
      <c r="AU62" s="34" t="s">
        <v>275</v>
      </c>
      <c r="AV62" s="34" t="s">
        <v>275</v>
      </c>
      <c r="AW62" s="58" t="s">
        <v>275</v>
      </c>
      <c r="AX62" s="34"/>
      <c r="AY62" s="34"/>
      <c r="AZ62" s="34"/>
      <c r="BA62" s="58"/>
    </row>
    <row r="63" spans="2:53" x14ac:dyDescent="0.25">
      <c r="B63" s="2"/>
      <c r="C63" s="19"/>
      <c r="D63" s="2"/>
      <c r="E63" s="19"/>
      <c r="F63" s="2"/>
      <c r="G63" s="19"/>
      <c r="H63" s="2"/>
      <c r="I63" s="19"/>
      <c r="J63" s="2"/>
      <c r="K63" s="19"/>
      <c r="L63" s="2"/>
      <c r="M63" s="19"/>
      <c r="N63" s="2"/>
      <c r="O63" s="19"/>
      <c r="P63" s="2"/>
      <c r="Q63" s="19"/>
      <c r="R63" s="2"/>
      <c r="S63" s="19"/>
      <c r="T63" s="2"/>
      <c r="U63" s="19"/>
      <c r="V63" s="2"/>
      <c r="W63" s="19"/>
      <c r="X63" s="2"/>
      <c r="Y63" s="19"/>
      <c r="Z63" s="2"/>
      <c r="AA63" s="19"/>
      <c r="AB63" s="2"/>
      <c r="AC63" s="19"/>
      <c r="AD63" s="2"/>
      <c r="AE63" s="19"/>
      <c r="AF63" s="2"/>
      <c r="AG63" s="70"/>
      <c r="AH63" s="2"/>
      <c r="AI63" s="70"/>
      <c r="AJ63" s="70"/>
      <c r="AK63" s="19"/>
      <c r="AL63" s="19"/>
      <c r="AM63" s="19"/>
      <c r="AO63" s="60" t="s">
        <v>46</v>
      </c>
      <c r="AP63" s="34" t="s">
        <v>22</v>
      </c>
      <c r="AQ63" s="34" t="s">
        <v>275</v>
      </c>
      <c r="AR63" s="34" t="s">
        <v>22</v>
      </c>
      <c r="AS63" s="34" t="s">
        <v>22</v>
      </c>
      <c r="AT63" s="34" t="s">
        <v>275</v>
      </c>
      <c r="AU63" s="34" t="s">
        <v>275</v>
      </c>
      <c r="AV63" s="34" t="s">
        <v>275</v>
      </c>
      <c r="AW63" s="58" t="s">
        <v>275</v>
      </c>
      <c r="AX63" s="34"/>
      <c r="AY63" s="34"/>
      <c r="AZ63" s="34"/>
      <c r="BA63" s="58"/>
    </row>
    <row r="64" spans="2:53" ht="15" customHeight="1" x14ac:dyDescent="0.25">
      <c r="B64" s="2" t="s">
        <v>7</v>
      </c>
      <c r="C64" s="19"/>
      <c r="D64" s="2" t="s">
        <v>7</v>
      </c>
      <c r="E64" s="19"/>
      <c r="F64" s="2" t="s">
        <v>7</v>
      </c>
      <c r="G64" s="19"/>
      <c r="H64" s="2" t="s">
        <v>7</v>
      </c>
      <c r="I64" s="19"/>
      <c r="J64" s="2" t="s">
        <v>7</v>
      </c>
      <c r="K64" s="19"/>
      <c r="L64" s="2" t="s">
        <v>7</v>
      </c>
      <c r="M64" s="19"/>
      <c r="N64" s="2"/>
      <c r="O64" s="19"/>
      <c r="P64" s="2" t="s">
        <v>7</v>
      </c>
      <c r="Q64" s="19"/>
      <c r="R64" s="2" t="s">
        <v>7</v>
      </c>
      <c r="S64" s="19"/>
      <c r="T64" s="2" t="s">
        <v>7</v>
      </c>
      <c r="U64" s="19"/>
      <c r="V64" s="2" t="s">
        <v>7</v>
      </c>
      <c r="W64" s="19"/>
      <c r="X64" s="2" t="s">
        <v>7</v>
      </c>
      <c r="Y64" s="19"/>
      <c r="Z64" s="2"/>
      <c r="AA64" s="19"/>
      <c r="AB64" s="2"/>
      <c r="AC64" s="19"/>
      <c r="AD64" s="2"/>
      <c r="AE64" s="19"/>
      <c r="AF64" s="19"/>
      <c r="AG64" s="70"/>
      <c r="AH64" s="70"/>
      <c r="AI64" s="70"/>
      <c r="AJ64" s="70"/>
      <c r="AK64" s="19"/>
      <c r="AL64" s="19"/>
      <c r="AM64" s="19"/>
      <c r="AO64" s="60" t="s">
        <v>47</v>
      </c>
      <c r="AP64" s="34" t="s">
        <v>284</v>
      </c>
      <c r="AQ64" s="34" t="s">
        <v>284</v>
      </c>
      <c r="AR64" s="34" t="s">
        <v>284</v>
      </c>
      <c r="AS64" s="34" t="s">
        <v>284</v>
      </c>
      <c r="AT64" s="34" t="s">
        <v>284</v>
      </c>
      <c r="AU64" s="34" t="s">
        <v>284</v>
      </c>
      <c r="AV64" s="34" t="s">
        <v>284</v>
      </c>
      <c r="AW64" s="58" t="s">
        <v>284</v>
      </c>
      <c r="AX64" s="34"/>
      <c r="AY64" s="34"/>
      <c r="AZ64" s="34"/>
      <c r="BA64" s="58"/>
    </row>
    <row r="65" spans="2:53" x14ac:dyDescent="0.25">
      <c r="B65" s="2"/>
      <c r="C65" s="19"/>
      <c r="D65" s="2"/>
      <c r="E65" s="19"/>
      <c r="F65" s="2"/>
      <c r="G65" s="19"/>
      <c r="H65" s="2"/>
      <c r="I65" s="19"/>
      <c r="J65" s="2"/>
      <c r="K65" s="19"/>
      <c r="L65" s="2"/>
      <c r="M65" s="19"/>
      <c r="N65" s="2"/>
      <c r="O65" s="19"/>
      <c r="P65" s="2"/>
      <c r="Q65" s="19"/>
      <c r="R65" s="2"/>
      <c r="S65" s="19"/>
      <c r="T65" s="2"/>
      <c r="U65" s="19"/>
      <c r="V65" s="2"/>
      <c r="W65" s="19"/>
      <c r="X65" s="2"/>
      <c r="Y65" s="19"/>
      <c r="Z65" s="2"/>
      <c r="AA65" s="19"/>
      <c r="AB65" s="2"/>
      <c r="AC65" s="19"/>
      <c r="AD65" s="2"/>
      <c r="AE65" s="19"/>
      <c r="AF65" s="19"/>
      <c r="AG65" s="70"/>
      <c r="AH65" s="70"/>
      <c r="AI65" s="70"/>
      <c r="AJ65" s="70"/>
      <c r="AK65" s="19"/>
      <c r="AL65" s="19"/>
      <c r="AM65" s="19"/>
      <c r="AO65" s="60" t="s">
        <v>475</v>
      </c>
      <c r="AP65" s="34" t="s">
        <v>284</v>
      </c>
      <c r="AQ65" s="34" t="s">
        <v>284</v>
      </c>
      <c r="AR65" s="34" t="s">
        <v>284</v>
      </c>
      <c r="AS65" s="34" t="s">
        <v>284</v>
      </c>
      <c r="AT65" s="34" t="s">
        <v>284</v>
      </c>
      <c r="AU65" s="34" t="s">
        <v>284</v>
      </c>
      <c r="AV65" s="34" t="s">
        <v>284</v>
      </c>
      <c r="AW65" s="58" t="s">
        <v>284</v>
      </c>
      <c r="AX65" s="34" t="s">
        <v>471</v>
      </c>
      <c r="AY65" s="34" t="s">
        <v>471</v>
      </c>
      <c r="AZ65" s="34" t="s">
        <v>471</v>
      </c>
      <c r="BA65" s="58" t="s">
        <v>471</v>
      </c>
    </row>
    <row r="66" spans="2:53" ht="15.75" x14ac:dyDescent="0.25">
      <c r="B66" s="490" t="s">
        <v>224</v>
      </c>
      <c r="C66" s="490"/>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19"/>
      <c r="AO66" s="61" t="s">
        <v>476</v>
      </c>
      <c r="AP66" s="35" t="s">
        <v>284</v>
      </c>
      <c r="AQ66" s="35" t="s">
        <v>284</v>
      </c>
      <c r="AR66" s="35" t="s">
        <v>284</v>
      </c>
      <c r="AS66" s="35" t="s">
        <v>284</v>
      </c>
      <c r="AT66" s="35" t="s">
        <v>284</v>
      </c>
      <c r="AU66" s="35" t="s">
        <v>284</v>
      </c>
      <c r="AV66" s="35" t="s">
        <v>284</v>
      </c>
      <c r="AW66" s="59" t="s">
        <v>284</v>
      </c>
      <c r="AX66" s="35" t="s">
        <v>275</v>
      </c>
      <c r="AY66" s="35" t="s">
        <v>275</v>
      </c>
      <c r="AZ66" s="35" t="s">
        <v>275</v>
      </c>
      <c r="BA66" s="59" t="s">
        <v>275</v>
      </c>
    </row>
    <row r="67" spans="2:53" ht="15" customHeight="1" x14ac:dyDescent="0.25">
      <c r="B67" s="2" t="s">
        <v>194</v>
      </c>
      <c r="C67" s="19"/>
      <c r="D67" s="2" t="s">
        <v>195</v>
      </c>
      <c r="E67" s="19"/>
      <c r="F67" s="2" t="s">
        <v>196</v>
      </c>
      <c r="G67" s="19"/>
      <c r="H67" s="2" t="s">
        <v>197</v>
      </c>
      <c r="I67" s="19"/>
      <c r="J67" s="2" t="s">
        <v>198</v>
      </c>
      <c r="K67" s="19"/>
      <c r="L67" s="2" t="s">
        <v>199</v>
      </c>
      <c r="M67" s="19"/>
      <c r="N67" s="2" t="s">
        <v>200</v>
      </c>
      <c r="O67" s="19"/>
      <c r="P67" s="2" t="s">
        <v>201</v>
      </c>
      <c r="Q67" s="19"/>
      <c r="R67" s="2" t="s">
        <v>202</v>
      </c>
      <c r="S67" s="19"/>
      <c r="T67" s="2" t="s">
        <v>203</v>
      </c>
      <c r="U67" s="19"/>
      <c r="V67" s="2" t="s">
        <v>204</v>
      </c>
      <c r="W67" s="19"/>
      <c r="X67" s="2" t="s">
        <v>205</v>
      </c>
      <c r="Y67" s="19"/>
      <c r="Z67" s="2" t="s">
        <v>206</v>
      </c>
      <c r="AA67" s="19"/>
      <c r="AB67" s="2" t="s">
        <v>207</v>
      </c>
      <c r="AC67" s="19"/>
      <c r="AD67" s="2" t="s">
        <v>208</v>
      </c>
      <c r="AE67" s="19"/>
      <c r="AF67" s="19" t="s">
        <v>505</v>
      </c>
      <c r="AG67" s="70"/>
      <c r="AH67" s="70" t="s">
        <v>504</v>
      </c>
      <c r="AI67" s="70"/>
      <c r="AJ67" s="70"/>
      <c r="AK67" s="19"/>
      <c r="AL67" s="19"/>
      <c r="AM67" s="19"/>
    </row>
    <row r="68" spans="2:53" ht="18" x14ac:dyDescent="0.35">
      <c r="B68" s="2"/>
      <c r="C68" s="19"/>
      <c r="D68" s="2"/>
      <c r="E68" s="19"/>
      <c r="F68" s="2"/>
      <c r="G68" s="19"/>
      <c r="H68" s="2"/>
      <c r="I68" s="19"/>
      <c r="J68" s="2"/>
      <c r="K68" s="19"/>
      <c r="L68" s="2"/>
      <c r="M68" s="19"/>
      <c r="N68" s="2"/>
      <c r="O68" s="19"/>
      <c r="P68" s="2"/>
      <c r="Q68" s="19"/>
      <c r="R68" s="2"/>
      <c r="S68" s="19"/>
      <c r="T68" s="2"/>
      <c r="U68" s="19"/>
      <c r="V68" s="2"/>
      <c r="W68" s="19"/>
      <c r="X68" s="2"/>
      <c r="Y68" s="19"/>
      <c r="Z68" s="2"/>
      <c r="AA68" s="19"/>
      <c r="AB68" s="2"/>
      <c r="AC68" s="19"/>
      <c r="AD68" s="2"/>
      <c r="AE68" s="19"/>
      <c r="AF68" s="19"/>
      <c r="AG68" s="70"/>
      <c r="AH68" s="70"/>
      <c r="AI68" s="70"/>
      <c r="AJ68" s="70"/>
      <c r="AK68" s="19"/>
      <c r="AL68" s="19"/>
      <c r="AM68" s="19"/>
      <c r="AO68" s="64" t="s">
        <v>277</v>
      </c>
      <c r="AP68" s="62" t="s">
        <v>14</v>
      </c>
      <c r="AQ68" s="62" t="s">
        <v>15</v>
      </c>
      <c r="AR68" s="62" t="s">
        <v>16</v>
      </c>
      <c r="AS68" s="62" t="s">
        <v>17</v>
      </c>
      <c r="AT68" s="62" t="s">
        <v>18</v>
      </c>
      <c r="AU68" s="62" t="s">
        <v>19</v>
      </c>
      <c r="AV68" s="62" t="s">
        <v>20</v>
      </c>
      <c r="AW68" s="63" t="s">
        <v>21</v>
      </c>
      <c r="AX68" s="62" t="s">
        <v>484</v>
      </c>
      <c r="AY68" s="62" t="s">
        <v>485</v>
      </c>
      <c r="AZ68" s="62" t="s">
        <v>486</v>
      </c>
      <c r="BA68" s="63" t="s">
        <v>487</v>
      </c>
    </row>
    <row r="69" spans="2:53" x14ac:dyDescent="0.25">
      <c r="B69" s="2" t="s">
        <v>7</v>
      </c>
      <c r="C69" s="19"/>
      <c r="D69" s="2" t="s">
        <v>7</v>
      </c>
      <c r="E69" s="19"/>
      <c r="F69" s="2" t="s">
        <v>7</v>
      </c>
      <c r="G69" s="19"/>
      <c r="H69" s="2" t="s">
        <v>7</v>
      </c>
      <c r="I69" s="19"/>
      <c r="J69" s="2" t="s">
        <v>7</v>
      </c>
      <c r="K69" s="19"/>
      <c r="L69" s="2" t="s">
        <v>7</v>
      </c>
      <c r="M69" s="19"/>
      <c r="N69" s="2"/>
      <c r="O69" s="19"/>
      <c r="P69" s="2" t="s">
        <v>7</v>
      </c>
      <c r="Q69" s="19"/>
      <c r="R69" s="2" t="s">
        <v>7</v>
      </c>
      <c r="S69" s="19"/>
      <c r="T69" s="2" t="s">
        <v>7</v>
      </c>
      <c r="U69" s="19"/>
      <c r="V69" s="2" t="s">
        <v>7</v>
      </c>
      <c r="W69" s="19"/>
      <c r="X69" s="2" t="s">
        <v>7</v>
      </c>
      <c r="Y69" s="19"/>
      <c r="Z69" s="2" t="s">
        <v>7</v>
      </c>
      <c r="AA69" s="19"/>
      <c r="AB69" s="2" t="s">
        <v>7</v>
      </c>
      <c r="AC69" s="19"/>
      <c r="AD69" s="2" t="s">
        <v>7</v>
      </c>
      <c r="AE69" s="19"/>
      <c r="AF69" s="19"/>
      <c r="AG69" s="70"/>
      <c r="AH69" s="70"/>
      <c r="AI69" s="70"/>
      <c r="AJ69" s="70"/>
      <c r="AK69" s="19"/>
      <c r="AL69" s="19"/>
      <c r="AM69" s="19"/>
      <c r="AO69" s="60" t="s">
        <v>38</v>
      </c>
      <c r="AP69" s="66">
        <v>1</v>
      </c>
      <c r="AQ69" s="66">
        <v>2</v>
      </c>
      <c r="AR69" s="66">
        <v>1</v>
      </c>
      <c r="AS69" s="66">
        <v>2</v>
      </c>
      <c r="AT69" s="66">
        <v>3</v>
      </c>
      <c r="AU69" s="66">
        <v>4</v>
      </c>
      <c r="AV69" s="66">
        <v>5</v>
      </c>
      <c r="AW69" s="67" t="s">
        <v>284</v>
      </c>
      <c r="AX69" s="34"/>
      <c r="AY69" s="34"/>
      <c r="AZ69" s="34"/>
      <c r="BA69" s="58"/>
    </row>
    <row r="70" spans="2:53" x14ac:dyDescent="0.25">
      <c r="B70" s="19"/>
      <c r="C70" s="19"/>
      <c r="D70" s="19"/>
      <c r="E70" s="19"/>
      <c r="F70" s="19"/>
      <c r="G70" s="19"/>
      <c r="H70" s="19"/>
      <c r="I70" s="19"/>
      <c r="J70" s="19"/>
      <c r="K70" s="19"/>
      <c r="L70" s="19"/>
      <c r="M70" s="19"/>
      <c r="N70" s="19"/>
      <c r="O70" s="19"/>
      <c r="P70" s="19"/>
      <c r="Q70" s="19"/>
      <c r="R70" s="19"/>
      <c r="S70" s="19"/>
      <c r="T70" s="19"/>
      <c r="U70" s="19"/>
      <c r="V70" s="19"/>
      <c r="AD70" s="19"/>
      <c r="AE70" s="19"/>
      <c r="AF70" s="19"/>
      <c r="AG70" s="70"/>
      <c r="AH70" s="70"/>
      <c r="AI70" s="70"/>
      <c r="AJ70" s="70"/>
      <c r="AK70" s="19"/>
      <c r="AL70" s="19"/>
      <c r="AM70" s="19"/>
      <c r="AO70" s="60" t="s">
        <v>39</v>
      </c>
      <c r="AP70" s="66">
        <v>2</v>
      </c>
      <c r="AQ70" s="66">
        <v>2</v>
      </c>
      <c r="AR70" s="66">
        <v>3</v>
      </c>
      <c r="AS70" s="66">
        <v>4</v>
      </c>
      <c r="AT70" s="66">
        <v>5</v>
      </c>
      <c r="AU70" s="66">
        <v>6</v>
      </c>
      <c r="AV70" s="66" t="s">
        <v>284</v>
      </c>
      <c r="AW70" s="67" t="s">
        <v>284</v>
      </c>
      <c r="AX70" s="34"/>
      <c r="AY70" s="34"/>
      <c r="AZ70" s="34"/>
      <c r="BA70" s="58"/>
    </row>
    <row r="71" spans="2:53" ht="15.75" x14ac:dyDescent="0.25">
      <c r="B71" s="490" t="s">
        <v>241</v>
      </c>
      <c r="C71" s="490"/>
      <c r="D71" s="490"/>
      <c r="E71" s="490"/>
      <c r="F71" s="490"/>
      <c r="G71" s="490"/>
      <c r="H71" s="490"/>
      <c r="I71" s="490"/>
      <c r="J71" s="490"/>
      <c r="K71" s="490"/>
      <c r="L71" s="490"/>
      <c r="M71" s="490"/>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19"/>
      <c r="AO71" s="60" t="s">
        <v>41</v>
      </c>
      <c r="AP71" s="66">
        <v>1</v>
      </c>
      <c r="AQ71" s="66">
        <v>2</v>
      </c>
      <c r="AR71" s="66">
        <v>3</v>
      </c>
      <c r="AS71" s="66">
        <v>4</v>
      </c>
      <c r="AT71" s="66">
        <v>5</v>
      </c>
      <c r="AU71" s="66">
        <v>6</v>
      </c>
      <c r="AV71" s="66" t="s">
        <v>284</v>
      </c>
      <c r="AW71" s="67" t="s">
        <v>284</v>
      </c>
      <c r="AX71" s="34"/>
      <c r="AY71" s="34"/>
      <c r="AZ71" s="34"/>
      <c r="BA71" s="58"/>
    </row>
    <row r="72" spans="2:53" ht="15" customHeight="1" x14ac:dyDescent="0.25">
      <c r="B72" s="2" t="s">
        <v>246</v>
      </c>
      <c r="C72" s="2"/>
      <c r="D72" s="2" t="s">
        <v>245</v>
      </c>
      <c r="E72" s="2"/>
      <c r="F72" s="2" t="s">
        <v>247</v>
      </c>
      <c r="G72" s="2"/>
      <c r="H72" s="2" t="s">
        <v>248</v>
      </c>
      <c r="I72" s="2"/>
      <c r="J72" s="2" t="s">
        <v>249</v>
      </c>
      <c r="K72" s="2"/>
      <c r="L72" s="2" t="s">
        <v>250</v>
      </c>
      <c r="M72" s="2"/>
      <c r="N72" s="2" t="s">
        <v>251</v>
      </c>
      <c r="O72" s="2"/>
      <c r="P72" s="2" t="s">
        <v>252</v>
      </c>
      <c r="Q72" s="2"/>
      <c r="R72" s="2" t="s">
        <v>253</v>
      </c>
      <c r="S72" s="2"/>
      <c r="T72" s="2" t="s">
        <v>254</v>
      </c>
      <c r="U72" s="2"/>
      <c r="V72" s="2" t="s">
        <v>255</v>
      </c>
      <c r="W72" s="2"/>
      <c r="X72" s="2" t="s">
        <v>256</v>
      </c>
      <c r="Y72" s="2"/>
      <c r="Z72" s="2" t="s">
        <v>257</v>
      </c>
      <c r="AA72" s="2"/>
      <c r="AB72" s="2" t="s">
        <v>258</v>
      </c>
      <c r="AC72" s="2"/>
      <c r="AD72" s="2" t="s">
        <v>259</v>
      </c>
      <c r="AE72" s="2"/>
      <c r="AF72" s="2" t="s">
        <v>497</v>
      </c>
      <c r="AG72" s="2"/>
      <c r="AH72" s="2" t="s">
        <v>498</v>
      </c>
      <c r="AI72" s="2"/>
      <c r="AJ72" s="2"/>
      <c r="AK72" s="19"/>
      <c r="AL72" s="2"/>
      <c r="AM72" s="19"/>
      <c r="AO72" s="60" t="s">
        <v>42</v>
      </c>
      <c r="AP72" s="66">
        <v>1</v>
      </c>
      <c r="AQ72" s="66">
        <v>2</v>
      </c>
      <c r="AR72" s="66">
        <v>3</v>
      </c>
      <c r="AS72" s="66">
        <v>4</v>
      </c>
      <c r="AT72" s="66">
        <v>5</v>
      </c>
      <c r="AU72" s="66" t="s">
        <v>284</v>
      </c>
      <c r="AV72" s="66" t="s">
        <v>284</v>
      </c>
      <c r="AW72" s="67" t="s">
        <v>284</v>
      </c>
      <c r="AX72" s="34"/>
      <c r="AY72" s="34"/>
      <c r="AZ72" s="34"/>
      <c r="BA72" s="58"/>
    </row>
    <row r="73" spans="2:53" x14ac:dyDescent="0.25">
      <c r="B73" s="2" t="s">
        <v>236</v>
      </c>
      <c r="C73" s="2"/>
      <c r="D73" s="2" t="s">
        <v>236</v>
      </c>
      <c r="E73" s="2"/>
      <c r="F73" s="2" t="s">
        <v>236</v>
      </c>
      <c r="G73" s="2"/>
      <c r="H73" s="2" t="s">
        <v>236</v>
      </c>
      <c r="I73" s="2"/>
      <c r="J73" s="2" t="s">
        <v>236</v>
      </c>
      <c r="K73" s="2"/>
      <c r="L73" s="2"/>
      <c r="M73" s="2"/>
      <c r="N73" s="2"/>
      <c r="O73" s="2"/>
      <c r="P73" s="2" t="s">
        <v>236</v>
      </c>
      <c r="Q73" s="2"/>
      <c r="R73" s="2"/>
      <c r="S73" s="2"/>
      <c r="T73" s="2" t="s">
        <v>236</v>
      </c>
      <c r="U73" s="2"/>
      <c r="V73" s="2" t="s">
        <v>236</v>
      </c>
      <c r="W73" s="2"/>
      <c r="X73" s="2"/>
      <c r="Y73" s="2"/>
      <c r="Z73" s="2"/>
      <c r="AA73" s="2"/>
      <c r="AB73" s="2"/>
      <c r="AC73" s="2"/>
      <c r="AD73" s="2"/>
      <c r="AE73" s="2"/>
      <c r="AF73" s="2" t="s">
        <v>236</v>
      </c>
      <c r="AG73" s="2"/>
      <c r="AH73" s="2" t="s">
        <v>276</v>
      </c>
      <c r="AI73" s="2"/>
      <c r="AJ73" s="2"/>
      <c r="AK73" s="19"/>
      <c r="AL73" s="2"/>
      <c r="AM73" s="19"/>
      <c r="AO73" s="60" t="s">
        <v>43</v>
      </c>
      <c r="AP73" s="66">
        <v>1</v>
      </c>
      <c r="AQ73" s="66">
        <v>2</v>
      </c>
      <c r="AR73" s="66">
        <v>3</v>
      </c>
      <c r="AS73" s="66">
        <v>4</v>
      </c>
      <c r="AT73" s="66">
        <v>5</v>
      </c>
      <c r="AU73" s="66" t="s">
        <v>284</v>
      </c>
      <c r="AV73" s="66" t="s">
        <v>284</v>
      </c>
      <c r="AW73" s="67" t="s">
        <v>284</v>
      </c>
      <c r="AX73" s="34"/>
      <c r="AY73" s="34"/>
      <c r="AZ73" s="34"/>
      <c r="BA73" s="58"/>
    </row>
    <row r="74" spans="2:53" x14ac:dyDescent="0.25">
      <c r="B74" s="2" t="s">
        <v>276</v>
      </c>
      <c r="C74" s="2"/>
      <c r="D74" s="2" t="s">
        <v>276</v>
      </c>
      <c r="E74" s="2"/>
      <c r="F74" s="2" t="s">
        <v>276</v>
      </c>
      <c r="G74" s="2"/>
      <c r="H74" s="2" t="s">
        <v>276</v>
      </c>
      <c r="I74" s="2"/>
      <c r="J74" s="2" t="s">
        <v>276</v>
      </c>
      <c r="K74" s="2"/>
      <c r="L74" s="2"/>
      <c r="M74" s="2"/>
      <c r="N74" s="2"/>
      <c r="O74" s="2"/>
      <c r="P74" s="2" t="s">
        <v>276</v>
      </c>
      <c r="Q74" s="2"/>
      <c r="R74" s="2"/>
      <c r="S74" s="2"/>
      <c r="T74" s="2" t="s">
        <v>276</v>
      </c>
      <c r="U74" s="2"/>
      <c r="V74" s="2" t="s">
        <v>276</v>
      </c>
      <c r="W74" s="2"/>
      <c r="X74" s="2"/>
      <c r="Y74" s="2"/>
      <c r="Z74" s="2"/>
      <c r="AA74" s="2"/>
      <c r="AB74" s="2"/>
      <c r="AC74" s="2"/>
      <c r="AD74" s="2"/>
      <c r="AE74" s="2"/>
      <c r="AF74" s="2"/>
      <c r="AG74" s="2"/>
      <c r="AH74" s="2"/>
      <c r="AI74" s="2"/>
      <c r="AJ74" s="2"/>
      <c r="AK74" s="19"/>
      <c r="AL74" s="2"/>
      <c r="AM74" s="19"/>
      <c r="AN74" s="68"/>
      <c r="AO74" s="60" t="s">
        <v>44</v>
      </c>
      <c r="AP74" s="66">
        <v>1</v>
      </c>
      <c r="AQ74" s="66">
        <v>2</v>
      </c>
      <c r="AR74" s="66">
        <v>3</v>
      </c>
      <c r="AS74" s="66">
        <v>4</v>
      </c>
      <c r="AT74" s="66">
        <v>5</v>
      </c>
      <c r="AU74" s="66">
        <v>6</v>
      </c>
      <c r="AV74" s="66" t="s">
        <v>284</v>
      </c>
      <c r="AW74" s="67" t="s">
        <v>284</v>
      </c>
      <c r="AX74" s="34"/>
      <c r="AY74" s="34"/>
      <c r="AZ74" s="34"/>
      <c r="BA74" s="58"/>
    </row>
    <row r="75" spans="2:53" ht="15" customHeight="1" x14ac:dyDescent="0.25">
      <c r="B75" s="2" t="s">
        <v>237</v>
      </c>
      <c r="C75" s="2"/>
      <c r="D75" s="2" t="s">
        <v>237</v>
      </c>
      <c r="E75" s="2"/>
      <c r="F75" s="2" t="s">
        <v>237</v>
      </c>
      <c r="G75" s="2"/>
      <c r="H75" s="2" t="s">
        <v>237</v>
      </c>
      <c r="I75" s="2"/>
      <c r="J75" s="2" t="s">
        <v>237</v>
      </c>
      <c r="K75" s="2"/>
      <c r="L75" s="55"/>
      <c r="M75" s="55"/>
      <c r="N75" s="55"/>
      <c r="O75" s="2"/>
      <c r="P75" s="2" t="s">
        <v>237</v>
      </c>
      <c r="Q75" s="2"/>
      <c r="R75" s="2"/>
      <c r="S75" s="2"/>
      <c r="T75" s="2" t="s">
        <v>237</v>
      </c>
      <c r="U75" s="2"/>
      <c r="V75" s="2" t="s">
        <v>237</v>
      </c>
      <c r="W75" s="2"/>
      <c r="X75" s="2"/>
      <c r="Y75" s="2"/>
      <c r="Z75" s="2"/>
      <c r="AA75" s="2"/>
      <c r="AB75" s="2"/>
      <c r="AC75" s="2"/>
      <c r="AD75" s="2"/>
      <c r="AE75" s="2"/>
      <c r="AF75" s="2"/>
      <c r="AG75" s="2"/>
      <c r="AH75" s="2"/>
      <c r="AI75" s="2"/>
      <c r="AJ75" s="2"/>
      <c r="AK75" s="19"/>
      <c r="AL75" s="2"/>
      <c r="AM75" s="19"/>
      <c r="AN75" s="68"/>
      <c r="AO75" s="60" t="s">
        <v>45</v>
      </c>
      <c r="AP75" s="66">
        <v>1</v>
      </c>
      <c r="AQ75" s="66">
        <v>2</v>
      </c>
      <c r="AR75" s="66">
        <v>1</v>
      </c>
      <c r="AS75" s="66">
        <v>2</v>
      </c>
      <c r="AT75" s="66">
        <v>3</v>
      </c>
      <c r="AU75" s="66">
        <v>4</v>
      </c>
      <c r="AV75" s="66">
        <v>4</v>
      </c>
      <c r="AW75" s="67">
        <v>5</v>
      </c>
      <c r="AX75" s="34"/>
      <c r="AY75" s="34"/>
      <c r="AZ75" s="34"/>
      <c r="BA75" s="58"/>
    </row>
    <row r="76" spans="2:53" x14ac:dyDescent="0.25">
      <c r="B76" s="2" t="s">
        <v>28</v>
      </c>
      <c r="C76" s="2"/>
      <c r="D76" s="2" t="s">
        <v>28</v>
      </c>
      <c r="E76" s="2"/>
      <c r="F76" s="2" t="s">
        <v>28</v>
      </c>
      <c r="G76" s="2"/>
      <c r="H76" s="2" t="s">
        <v>28</v>
      </c>
      <c r="I76" s="2"/>
      <c r="J76" s="2" t="s">
        <v>28</v>
      </c>
      <c r="K76" s="2"/>
      <c r="L76" s="55"/>
      <c r="M76" s="55"/>
      <c r="N76" s="55"/>
      <c r="O76" s="2"/>
      <c r="P76" s="2" t="s">
        <v>28</v>
      </c>
      <c r="Q76" s="2"/>
      <c r="R76" s="2"/>
      <c r="S76" s="2"/>
      <c r="T76" s="2" t="s">
        <v>28</v>
      </c>
      <c r="U76" s="2"/>
      <c r="V76" s="2" t="s">
        <v>28</v>
      </c>
      <c r="W76" s="2"/>
      <c r="X76" s="2"/>
      <c r="Y76" s="2"/>
      <c r="Z76" s="2"/>
      <c r="AA76" s="2"/>
      <c r="AB76" s="2"/>
      <c r="AC76" s="2"/>
      <c r="AD76" s="2"/>
      <c r="AE76" s="2"/>
      <c r="AF76" s="2"/>
      <c r="AG76" s="2"/>
      <c r="AH76" s="2"/>
      <c r="AI76" s="2"/>
      <c r="AJ76" s="2"/>
      <c r="AK76" s="19"/>
      <c r="AL76" s="2"/>
      <c r="AM76" s="19"/>
      <c r="AN76" s="68"/>
      <c r="AO76" s="60" t="s">
        <v>46</v>
      </c>
      <c r="AP76" s="66">
        <v>1</v>
      </c>
      <c r="AQ76" s="66">
        <v>2</v>
      </c>
      <c r="AR76" s="66">
        <v>1</v>
      </c>
      <c r="AS76" s="66">
        <v>2</v>
      </c>
      <c r="AT76" s="66">
        <v>3</v>
      </c>
      <c r="AU76" s="66">
        <v>4</v>
      </c>
      <c r="AV76" s="66">
        <v>4</v>
      </c>
      <c r="AW76" s="67">
        <v>5</v>
      </c>
      <c r="AX76" s="34"/>
      <c r="AY76" s="34"/>
      <c r="AZ76" s="34"/>
      <c r="BA76" s="58"/>
    </row>
    <row r="77" spans="2:53" x14ac:dyDescent="0.25">
      <c r="B77" s="2" t="s">
        <v>238</v>
      </c>
      <c r="C77" s="2"/>
      <c r="D77" s="2" t="s">
        <v>238</v>
      </c>
      <c r="E77" s="2"/>
      <c r="F77" s="2" t="s">
        <v>238</v>
      </c>
      <c r="G77" s="2"/>
      <c r="H77" s="2" t="s">
        <v>238</v>
      </c>
      <c r="I77" s="2"/>
      <c r="J77" s="2" t="s">
        <v>238</v>
      </c>
      <c r="K77" s="2"/>
      <c r="L77" s="55"/>
      <c r="M77" s="55"/>
      <c r="N77" s="55"/>
      <c r="O77" s="2"/>
      <c r="P77" s="2" t="s">
        <v>238</v>
      </c>
      <c r="Q77" s="2"/>
      <c r="R77" s="2"/>
      <c r="S77" s="2"/>
      <c r="T77" s="2" t="s">
        <v>238</v>
      </c>
      <c r="U77" s="2"/>
      <c r="V77" s="2" t="s">
        <v>238</v>
      </c>
      <c r="W77" s="2"/>
      <c r="X77" s="2"/>
      <c r="Y77" s="2"/>
      <c r="Z77" s="2"/>
      <c r="AA77" s="2"/>
      <c r="AB77" s="2"/>
      <c r="AC77" s="2"/>
      <c r="AD77" s="2"/>
      <c r="AE77" s="2"/>
      <c r="AF77" s="2"/>
      <c r="AG77" s="2"/>
      <c r="AH77" s="2"/>
      <c r="AI77" s="2"/>
      <c r="AJ77" s="2"/>
      <c r="AK77" s="19"/>
      <c r="AL77" s="2"/>
      <c r="AM77" s="19"/>
      <c r="AN77" s="68"/>
      <c r="AO77" s="60" t="s">
        <v>47</v>
      </c>
      <c r="AP77" s="34" t="s">
        <v>284</v>
      </c>
      <c r="AQ77" s="34" t="s">
        <v>284</v>
      </c>
      <c r="AR77" s="34" t="s">
        <v>284</v>
      </c>
      <c r="AS77" s="34" t="s">
        <v>284</v>
      </c>
      <c r="AT77" s="34" t="s">
        <v>284</v>
      </c>
      <c r="AU77" s="34" t="s">
        <v>284</v>
      </c>
      <c r="AV77" s="34" t="s">
        <v>284</v>
      </c>
      <c r="AW77" s="58" t="s">
        <v>284</v>
      </c>
      <c r="AX77" s="34"/>
      <c r="AY77" s="34"/>
      <c r="AZ77" s="34"/>
      <c r="BA77" s="58"/>
    </row>
    <row r="78" spans="2:53" x14ac:dyDescent="0.25">
      <c r="B78" s="2" t="s">
        <v>10</v>
      </c>
      <c r="C78" s="2"/>
      <c r="D78" s="2" t="s">
        <v>10</v>
      </c>
      <c r="E78" s="2"/>
      <c r="F78" s="2" t="s">
        <v>10</v>
      </c>
      <c r="G78" s="2"/>
      <c r="H78" s="2" t="s">
        <v>178</v>
      </c>
      <c r="I78" s="2"/>
      <c r="J78" s="2" t="s">
        <v>178</v>
      </c>
      <c r="K78" s="2"/>
      <c r="L78" s="55"/>
      <c r="M78" s="55"/>
      <c r="N78" s="55"/>
      <c r="O78" s="2"/>
      <c r="P78" s="2" t="s">
        <v>10</v>
      </c>
      <c r="Q78" s="2"/>
      <c r="R78" s="2"/>
      <c r="S78" s="2"/>
      <c r="T78" s="2" t="s">
        <v>10</v>
      </c>
      <c r="U78" s="2"/>
      <c r="V78" s="2" t="s">
        <v>10</v>
      </c>
      <c r="W78" s="2"/>
      <c r="X78" s="2"/>
      <c r="Y78" s="2"/>
      <c r="Z78" s="2"/>
      <c r="AA78" s="2"/>
      <c r="AB78" s="2"/>
      <c r="AC78" s="2"/>
      <c r="AD78" s="2"/>
      <c r="AE78" s="2"/>
      <c r="AF78" s="2"/>
      <c r="AG78" s="2"/>
      <c r="AH78" s="2"/>
      <c r="AI78" s="2"/>
      <c r="AJ78" s="2"/>
      <c r="AK78" s="19"/>
      <c r="AL78" s="2"/>
      <c r="AM78" s="19"/>
      <c r="AN78" s="68"/>
      <c r="AO78" s="60" t="s">
        <v>475</v>
      </c>
      <c r="AP78" s="34" t="s">
        <v>284</v>
      </c>
      <c r="AQ78" s="34" t="s">
        <v>284</v>
      </c>
      <c r="AR78" s="34" t="s">
        <v>284</v>
      </c>
      <c r="AS78" s="34" t="s">
        <v>284</v>
      </c>
      <c r="AT78" s="34" t="s">
        <v>284</v>
      </c>
      <c r="AU78" s="34" t="s">
        <v>284</v>
      </c>
      <c r="AV78" s="34" t="s">
        <v>284</v>
      </c>
      <c r="AW78" s="58" t="s">
        <v>284</v>
      </c>
      <c r="AX78" s="34" t="s">
        <v>501</v>
      </c>
      <c r="AY78" s="34" t="s">
        <v>501</v>
      </c>
      <c r="AZ78" s="34" t="s">
        <v>501</v>
      </c>
      <c r="BA78" s="58" t="s">
        <v>501</v>
      </c>
    </row>
    <row r="79" spans="2:53" x14ac:dyDescent="0.25">
      <c r="B79" s="2" t="s">
        <v>178</v>
      </c>
      <c r="C79" s="2"/>
      <c r="D79" s="2" t="s">
        <v>178</v>
      </c>
      <c r="E79" s="2"/>
      <c r="F79" s="2" t="s">
        <v>178</v>
      </c>
      <c r="G79" s="2"/>
      <c r="H79" s="2" t="s">
        <v>22</v>
      </c>
      <c r="I79" s="2"/>
      <c r="J79" s="2" t="s">
        <v>22</v>
      </c>
      <c r="K79" s="2"/>
      <c r="L79" s="55"/>
      <c r="M79" s="55"/>
      <c r="N79" s="55"/>
      <c r="O79" s="2"/>
      <c r="P79" s="2" t="s">
        <v>178</v>
      </c>
      <c r="Q79" s="2"/>
      <c r="R79" s="2"/>
      <c r="S79" s="2"/>
      <c r="T79" s="2" t="s">
        <v>178</v>
      </c>
      <c r="U79" s="2"/>
      <c r="V79" s="2" t="s">
        <v>178</v>
      </c>
      <c r="W79" s="2"/>
      <c r="X79" s="2"/>
      <c r="Y79" s="2"/>
      <c r="Z79" s="2"/>
      <c r="AA79" s="2"/>
      <c r="AB79" s="2"/>
      <c r="AC79" s="2"/>
      <c r="AD79" s="2"/>
      <c r="AE79" s="2"/>
      <c r="AF79" s="2"/>
      <c r="AG79" s="2"/>
      <c r="AH79" s="2"/>
      <c r="AI79" s="2"/>
      <c r="AJ79" s="2"/>
      <c r="AK79" s="19"/>
      <c r="AL79" s="2"/>
      <c r="AM79" s="19"/>
      <c r="AN79" s="68"/>
      <c r="AO79" s="61" t="s">
        <v>476</v>
      </c>
      <c r="AP79" s="35" t="s">
        <v>284</v>
      </c>
      <c r="AQ79" s="35" t="s">
        <v>284</v>
      </c>
      <c r="AR79" s="35" t="s">
        <v>284</v>
      </c>
      <c r="AS79" s="35" t="s">
        <v>284</v>
      </c>
      <c r="AT79" s="35" t="s">
        <v>284</v>
      </c>
      <c r="AU79" s="35" t="s">
        <v>284</v>
      </c>
      <c r="AV79" s="35" t="s">
        <v>284</v>
      </c>
      <c r="AW79" s="59" t="s">
        <v>284</v>
      </c>
      <c r="AX79" s="35" t="s">
        <v>501</v>
      </c>
      <c r="AY79" s="35" t="s">
        <v>501</v>
      </c>
      <c r="AZ79" s="35" t="s">
        <v>501</v>
      </c>
      <c r="BA79" s="59" t="s">
        <v>501</v>
      </c>
    </row>
    <row r="80" spans="2:53" x14ac:dyDescent="0.25">
      <c r="B80" s="2" t="s">
        <v>239</v>
      </c>
      <c r="C80" s="2"/>
      <c r="D80" s="2" t="s">
        <v>239</v>
      </c>
      <c r="E80" s="2"/>
      <c r="F80" s="2" t="s">
        <v>239</v>
      </c>
      <c r="G80" s="2"/>
      <c r="H80" s="2"/>
      <c r="I80" s="2"/>
      <c r="J80" s="2"/>
      <c r="K80" s="2"/>
      <c r="L80" s="55"/>
      <c r="M80" s="55"/>
      <c r="N80" s="55"/>
      <c r="O80" s="2"/>
      <c r="P80" s="2" t="s">
        <v>239</v>
      </c>
      <c r="Q80" s="2"/>
      <c r="R80" s="2"/>
      <c r="S80" s="2"/>
      <c r="T80" s="2" t="s">
        <v>239</v>
      </c>
      <c r="U80" s="2"/>
      <c r="V80" s="2" t="s">
        <v>239</v>
      </c>
      <c r="W80" s="2"/>
      <c r="X80" s="2"/>
      <c r="Y80" s="2"/>
      <c r="Z80" s="2"/>
      <c r="AA80" s="2"/>
      <c r="AB80" s="2"/>
      <c r="AC80" s="2"/>
      <c r="AD80" s="2"/>
      <c r="AE80" s="2"/>
      <c r="AF80" s="2"/>
      <c r="AG80" s="2"/>
      <c r="AH80" s="2"/>
      <c r="AI80" s="2"/>
      <c r="AJ80" s="2"/>
      <c r="AK80" s="19"/>
      <c r="AL80" s="2"/>
      <c r="AM80" s="19"/>
      <c r="AN80" s="68"/>
    </row>
    <row r="81" spans="2:49" ht="15" customHeight="1" x14ac:dyDescent="0.25">
      <c r="B81" s="2" t="s">
        <v>22</v>
      </c>
      <c r="C81" s="2"/>
      <c r="D81" s="2" t="s">
        <v>22</v>
      </c>
      <c r="E81" s="2"/>
      <c r="F81" s="2" t="s">
        <v>22</v>
      </c>
      <c r="G81" s="2"/>
      <c r="H81" s="2"/>
      <c r="I81" s="2"/>
      <c r="J81" s="2"/>
      <c r="K81" s="2"/>
      <c r="L81" s="55"/>
      <c r="M81" s="55"/>
      <c r="N81" s="55"/>
      <c r="O81" s="2"/>
      <c r="P81" s="2" t="s">
        <v>22</v>
      </c>
      <c r="Q81" s="2"/>
      <c r="R81" s="2"/>
      <c r="S81" s="2"/>
      <c r="T81" s="2" t="s">
        <v>22</v>
      </c>
      <c r="U81" s="2"/>
      <c r="V81" s="2" t="s">
        <v>22</v>
      </c>
      <c r="W81" s="2"/>
      <c r="X81" s="2"/>
      <c r="Y81" s="2"/>
      <c r="Z81" s="2"/>
      <c r="AA81" s="2"/>
      <c r="AB81" s="2"/>
      <c r="AC81" s="2"/>
      <c r="AD81" s="2"/>
      <c r="AE81" s="2"/>
      <c r="AF81" s="2"/>
      <c r="AG81" s="2"/>
      <c r="AH81" s="2"/>
      <c r="AI81" s="2"/>
      <c r="AJ81" s="2"/>
      <c r="AK81" s="19"/>
      <c r="AL81" s="2"/>
      <c r="AM81" s="19"/>
    </row>
    <row r="82" spans="2:49"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19"/>
      <c r="AL82" s="2"/>
      <c r="AM82" s="19"/>
    </row>
    <row r="83" spans="2:49" ht="15.75" x14ac:dyDescent="0.25">
      <c r="B83" s="490" t="s">
        <v>242</v>
      </c>
      <c r="C83" s="490"/>
      <c r="D83" s="490"/>
      <c r="E83" s="490"/>
      <c r="F83" s="490"/>
      <c r="G83" s="490"/>
      <c r="H83" s="490"/>
      <c r="I83" s="490"/>
      <c r="J83" s="490"/>
      <c r="K83" s="490"/>
      <c r="L83" s="490"/>
      <c r="M83" s="490"/>
      <c r="N83" s="490"/>
      <c r="O83" s="490"/>
      <c r="P83" s="490"/>
      <c r="Q83" s="490"/>
      <c r="R83" s="490"/>
      <c r="S83" s="490"/>
      <c r="T83" s="490"/>
      <c r="U83" s="490"/>
      <c r="V83" s="490"/>
      <c r="W83" s="490"/>
      <c r="X83" s="490"/>
      <c r="Y83" s="490"/>
      <c r="Z83" s="490"/>
      <c r="AA83" s="490"/>
      <c r="AB83" s="490"/>
      <c r="AC83" s="490"/>
      <c r="AD83" s="490"/>
      <c r="AE83" s="490"/>
      <c r="AF83" s="490"/>
      <c r="AG83" s="490"/>
      <c r="AH83" s="490"/>
      <c r="AI83" s="490"/>
      <c r="AJ83" s="490"/>
      <c r="AK83" s="490"/>
      <c r="AL83" s="490"/>
      <c r="AM83" s="19"/>
    </row>
    <row r="84" spans="2:49" x14ac:dyDescent="0.25">
      <c r="B84" s="2" t="s">
        <v>260</v>
      </c>
      <c r="C84" s="2"/>
      <c r="D84" s="2" t="s">
        <v>261</v>
      </c>
      <c r="E84" s="2"/>
      <c r="F84" s="2" t="s">
        <v>262</v>
      </c>
      <c r="G84" s="2"/>
      <c r="H84" s="2" t="s">
        <v>263</v>
      </c>
      <c r="I84" s="2"/>
      <c r="J84" s="2" t="s">
        <v>264</v>
      </c>
      <c r="K84" s="2"/>
      <c r="L84" s="2" t="s">
        <v>265</v>
      </c>
      <c r="M84" s="2"/>
      <c r="N84" s="2" t="s">
        <v>266</v>
      </c>
      <c r="O84" s="2"/>
      <c r="P84" s="2" t="s">
        <v>267</v>
      </c>
      <c r="Q84" s="2"/>
      <c r="R84" s="2" t="s">
        <v>268</v>
      </c>
      <c r="S84" s="2"/>
      <c r="T84" s="2" t="s">
        <v>269</v>
      </c>
      <c r="U84" s="2"/>
      <c r="V84" s="2" t="s">
        <v>270</v>
      </c>
      <c r="W84" s="2"/>
      <c r="X84" s="2" t="s">
        <v>271</v>
      </c>
      <c r="Y84" s="2"/>
      <c r="Z84" s="2" t="s">
        <v>272</v>
      </c>
      <c r="AA84" s="2"/>
      <c r="AB84" s="2" t="s">
        <v>273</v>
      </c>
      <c r="AC84" s="2"/>
      <c r="AD84" s="2" t="s">
        <v>274</v>
      </c>
      <c r="AE84" s="2"/>
      <c r="AF84" s="2" t="s">
        <v>499</v>
      </c>
      <c r="AG84" s="2"/>
      <c r="AH84" s="2" t="s">
        <v>500</v>
      </c>
      <c r="AI84" s="2"/>
      <c r="AJ84" s="2"/>
      <c r="AK84" s="19"/>
      <c r="AL84" s="2"/>
      <c r="AM84" s="19"/>
      <c r="AO84" s="1"/>
      <c r="AP84" s="11"/>
      <c r="AQ84" s="11"/>
      <c r="AR84" s="11"/>
      <c r="AS84" s="11"/>
      <c r="AT84" s="11"/>
      <c r="AU84" s="11"/>
      <c r="AV84" s="11"/>
      <c r="AW84" s="11"/>
    </row>
    <row r="85" spans="2:49" ht="15" customHeight="1" x14ac:dyDescent="0.25">
      <c r="B85" s="2" t="s">
        <v>22</v>
      </c>
      <c r="C85" s="2"/>
      <c r="D85" s="2" t="s">
        <v>22</v>
      </c>
      <c r="E85" s="2"/>
      <c r="F85" s="2" t="s">
        <v>22</v>
      </c>
      <c r="G85" s="2"/>
      <c r="H85" s="2" t="s">
        <v>22</v>
      </c>
      <c r="I85" s="2"/>
      <c r="J85" s="2" t="s">
        <v>22</v>
      </c>
      <c r="K85" s="2"/>
      <c r="L85" s="2"/>
      <c r="M85" s="2"/>
      <c r="N85" s="2"/>
      <c r="O85" s="2"/>
      <c r="P85" s="2" t="s">
        <v>22</v>
      </c>
      <c r="Q85" s="2"/>
      <c r="R85" s="2"/>
      <c r="S85" s="2"/>
      <c r="T85" s="2" t="s">
        <v>215</v>
      </c>
      <c r="U85" s="2"/>
      <c r="V85" s="2" t="s">
        <v>215</v>
      </c>
      <c r="W85" s="2"/>
      <c r="X85" s="2"/>
      <c r="Y85" s="2"/>
      <c r="Z85" s="2" t="s">
        <v>22</v>
      </c>
      <c r="AA85" s="2"/>
      <c r="AB85" s="2" t="s">
        <v>22</v>
      </c>
      <c r="AC85" s="2"/>
      <c r="AD85" s="2"/>
      <c r="AE85" s="2"/>
      <c r="AF85" s="2" t="s">
        <v>471</v>
      </c>
      <c r="AG85" s="2"/>
      <c r="AH85" s="2" t="s">
        <v>275</v>
      </c>
      <c r="AI85" s="2"/>
      <c r="AJ85" s="2"/>
      <c r="AK85" s="19"/>
      <c r="AL85" s="2"/>
      <c r="AM85" s="19"/>
    </row>
    <row r="86" spans="2:49" x14ac:dyDescent="0.25">
      <c r="B86" s="2" t="s">
        <v>275</v>
      </c>
      <c r="C86" s="2"/>
      <c r="D86" s="2" t="s">
        <v>275</v>
      </c>
      <c r="E86" s="2"/>
      <c r="F86" s="2" t="s">
        <v>275</v>
      </c>
      <c r="G86" s="2"/>
      <c r="H86" s="2" t="s">
        <v>275</v>
      </c>
      <c r="I86" s="2"/>
      <c r="J86" s="2" t="s">
        <v>275</v>
      </c>
      <c r="K86" s="2"/>
      <c r="L86" s="2"/>
      <c r="M86" s="2"/>
      <c r="N86" s="2"/>
      <c r="O86" s="2"/>
      <c r="P86" s="2" t="s">
        <v>27</v>
      </c>
      <c r="Q86" s="2"/>
      <c r="R86" s="2"/>
      <c r="S86" s="2"/>
      <c r="T86" s="2"/>
      <c r="U86" s="2"/>
      <c r="V86" s="2"/>
      <c r="W86" s="2"/>
      <c r="X86" s="2"/>
      <c r="Y86" s="2"/>
      <c r="Z86" s="2" t="s">
        <v>275</v>
      </c>
      <c r="AA86" s="2"/>
      <c r="AB86" s="2" t="s">
        <v>275</v>
      </c>
      <c r="AC86" s="2"/>
      <c r="AD86" s="2"/>
      <c r="AE86" s="2"/>
      <c r="AF86" s="2"/>
      <c r="AG86" s="2"/>
      <c r="AH86" s="2"/>
      <c r="AI86" s="2"/>
      <c r="AJ86" s="2"/>
      <c r="AK86" s="19"/>
      <c r="AL86" s="2"/>
    </row>
    <row r="87" spans="2:49" x14ac:dyDescent="0.25">
      <c r="B87" s="2"/>
      <c r="C87" s="2"/>
      <c r="D87" s="2"/>
      <c r="E87" s="2"/>
      <c r="F87" s="2" t="s">
        <v>27</v>
      </c>
      <c r="G87" s="2"/>
      <c r="H87" s="2"/>
      <c r="I87" s="2"/>
      <c r="J87" s="2"/>
      <c r="K87" s="2"/>
      <c r="L87" s="2"/>
      <c r="M87" s="2"/>
      <c r="N87" s="2"/>
      <c r="O87" s="2"/>
      <c r="P87" s="2" t="s">
        <v>26</v>
      </c>
      <c r="Q87" s="2"/>
      <c r="R87" s="2"/>
      <c r="S87" s="2"/>
      <c r="T87" s="2"/>
      <c r="U87" s="2"/>
      <c r="V87" s="2"/>
      <c r="W87" s="2"/>
      <c r="X87" s="2"/>
      <c r="Y87" s="2"/>
      <c r="Z87" s="2"/>
      <c r="AA87" s="2"/>
      <c r="AB87" s="2"/>
      <c r="AC87" s="2"/>
      <c r="AD87" s="2"/>
      <c r="AE87" s="2"/>
      <c r="AF87" s="2"/>
      <c r="AG87" s="2"/>
      <c r="AH87" s="2"/>
      <c r="AI87" s="2"/>
      <c r="AJ87" s="2"/>
      <c r="AK87" s="19"/>
      <c r="AL87" s="2"/>
      <c r="AN87" s="44"/>
    </row>
    <row r="88" spans="2:49" x14ac:dyDescent="0.25">
      <c r="B88" s="2"/>
      <c r="C88" s="2"/>
      <c r="D88" s="2"/>
      <c r="E88" s="2"/>
      <c r="F88" s="2" t="s">
        <v>26</v>
      </c>
      <c r="G88" s="2"/>
      <c r="H88" s="2"/>
      <c r="I88" s="2"/>
      <c r="J88" s="2"/>
      <c r="K88" s="2"/>
      <c r="L88" s="2"/>
      <c r="M88" s="2"/>
      <c r="N88" s="2"/>
      <c r="O88" s="2"/>
      <c r="P88" s="2" t="s">
        <v>288</v>
      </c>
      <c r="Q88" s="2"/>
      <c r="R88" s="2"/>
      <c r="S88" s="2"/>
      <c r="T88" s="2"/>
      <c r="U88" s="2"/>
      <c r="V88" s="2"/>
      <c r="W88" s="2"/>
      <c r="X88" s="2"/>
      <c r="Y88" s="2"/>
      <c r="Z88" s="2"/>
      <c r="AA88" s="2"/>
      <c r="AB88" s="2"/>
      <c r="AC88" s="2"/>
      <c r="AD88" s="2"/>
      <c r="AE88" s="2"/>
      <c r="AF88" s="2"/>
      <c r="AG88" s="2"/>
      <c r="AH88" s="2"/>
      <c r="AI88" s="2"/>
      <c r="AJ88" s="2"/>
      <c r="AK88" s="19"/>
      <c r="AL88" s="2"/>
    </row>
    <row r="89" spans="2:49"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19"/>
      <c r="AL89" s="2"/>
    </row>
    <row r="90" spans="2:49"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19"/>
      <c r="AL90" s="2"/>
    </row>
    <row r="91" spans="2:49"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19"/>
      <c r="AL91" s="2"/>
    </row>
    <row r="92" spans="2:49" ht="15.75" x14ac:dyDescent="0.25">
      <c r="B92" s="490" t="s">
        <v>243</v>
      </c>
      <c r="C92" s="490"/>
      <c r="D92" s="490"/>
      <c r="E92" s="490"/>
      <c r="F92" s="490"/>
      <c r="G92" s="490"/>
      <c r="H92" s="490"/>
      <c r="I92" s="490"/>
      <c r="J92" s="490"/>
      <c r="K92" s="490"/>
      <c r="L92" s="490"/>
      <c r="M92" s="490"/>
      <c r="N92" s="490"/>
      <c r="O92" s="490"/>
      <c r="P92" s="490"/>
      <c r="Q92" s="490"/>
      <c r="R92" s="490"/>
      <c r="S92" s="490"/>
      <c r="T92" s="490"/>
      <c r="U92" s="490"/>
      <c r="V92" s="490"/>
      <c r="W92" s="490"/>
      <c r="X92" s="490"/>
      <c r="Y92" s="490"/>
      <c r="Z92" s="490"/>
      <c r="AA92" s="490"/>
      <c r="AB92" s="490"/>
      <c r="AC92" s="490"/>
      <c r="AD92" s="490"/>
      <c r="AE92" s="490"/>
      <c r="AF92" s="490"/>
      <c r="AG92" s="490"/>
      <c r="AH92" s="490"/>
      <c r="AI92" s="490"/>
      <c r="AJ92" s="490"/>
      <c r="AK92" s="490"/>
      <c r="AL92" s="490"/>
    </row>
    <row r="93" spans="2:49" x14ac:dyDescent="0.25">
      <c r="B93" s="2" t="s">
        <v>227</v>
      </c>
      <c r="C93" s="2"/>
      <c r="D93" s="2" t="s">
        <v>228</v>
      </c>
      <c r="E93" s="2"/>
      <c r="F93" s="2" t="s">
        <v>229</v>
      </c>
      <c r="G93" s="2"/>
      <c r="H93" s="2" t="s">
        <v>230</v>
      </c>
      <c r="I93" s="2"/>
      <c r="J93" s="2" t="s">
        <v>231</v>
      </c>
      <c r="K93" s="2"/>
      <c r="L93" s="2" t="s">
        <v>232</v>
      </c>
      <c r="M93" s="2"/>
      <c r="N93" s="2" t="s">
        <v>233</v>
      </c>
      <c r="O93" s="2"/>
      <c r="P93" s="2" t="s">
        <v>234</v>
      </c>
      <c r="Q93" s="2"/>
      <c r="R93" s="2" t="s">
        <v>235</v>
      </c>
      <c r="S93" s="2"/>
      <c r="T93" s="2" t="s">
        <v>240</v>
      </c>
      <c r="U93" s="2"/>
      <c r="V93" s="2"/>
      <c r="W93" s="2"/>
      <c r="X93" s="2"/>
      <c r="Y93" s="2"/>
      <c r="Z93" s="2"/>
      <c r="AA93" s="2"/>
      <c r="AB93" s="2"/>
      <c r="AC93" s="2"/>
      <c r="AD93" s="2"/>
      <c r="AE93" s="2"/>
      <c r="AF93" s="2"/>
      <c r="AG93" s="2"/>
      <c r="AH93" s="2"/>
      <c r="AI93" s="2"/>
      <c r="AJ93" s="2"/>
      <c r="AK93" s="19"/>
      <c r="AL93" s="2"/>
    </row>
    <row r="94" spans="2:49" x14ac:dyDescent="0.25">
      <c r="B94" s="57">
        <v>1</v>
      </c>
      <c r="C94" s="2"/>
      <c r="D94" s="57">
        <v>1</v>
      </c>
      <c r="E94" s="2"/>
      <c r="F94" s="57">
        <v>1</v>
      </c>
      <c r="G94" s="2"/>
      <c r="H94" s="57">
        <v>1</v>
      </c>
      <c r="I94" s="2"/>
      <c r="J94" s="57">
        <v>1</v>
      </c>
      <c r="K94" s="2"/>
      <c r="L94" s="57">
        <v>1</v>
      </c>
      <c r="M94" s="2"/>
      <c r="N94" s="57">
        <v>1</v>
      </c>
      <c r="O94" s="2"/>
      <c r="P94" s="57">
        <v>1</v>
      </c>
      <c r="Q94" s="2"/>
      <c r="R94" s="57">
        <v>1</v>
      </c>
      <c r="S94" s="2"/>
      <c r="T94" s="57">
        <v>1</v>
      </c>
      <c r="U94" s="2"/>
      <c r="V94" s="2"/>
      <c r="W94" s="2"/>
      <c r="X94" s="2"/>
      <c r="Y94" s="2"/>
      <c r="Z94" s="2"/>
      <c r="AA94" s="2"/>
      <c r="AB94" s="2"/>
      <c r="AC94" s="2"/>
      <c r="AD94" s="2"/>
      <c r="AE94" s="2"/>
      <c r="AF94" s="2"/>
      <c r="AG94" s="2"/>
      <c r="AH94" s="2"/>
      <c r="AI94" s="2"/>
      <c r="AJ94" s="2"/>
      <c r="AK94" s="19"/>
      <c r="AL94" s="2"/>
    </row>
    <row r="95" spans="2:49" x14ac:dyDescent="0.25">
      <c r="B95" s="57"/>
      <c r="C95" s="2"/>
      <c r="D95" s="57">
        <v>2</v>
      </c>
      <c r="E95" s="2"/>
      <c r="F95" s="57">
        <v>2</v>
      </c>
      <c r="G95" s="2"/>
      <c r="H95" s="57">
        <v>2</v>
      </c>
      <c r="I95" s="2"/>
      <c r="J95" s="57">
        <v>2</v>
      </c>
      <c r="K95" s="2"/>
      <c r="L95" s="57">
        <v>2</v>
      </c>
      <c r="M95" s="2"/>
      <c r="N95" s="57">
        <v>2</v>
      </c>
      <c r="O95" s="2"/>
      <c r="P95" s="57">
        <v>2</v>
      </c>
      <c r="Q95" s="2"/>
      <c r="R95" s="57">
        <v>2</v>
      </c>
      <c r="S95" s="2"/>
      <c r="T95" s="57">
        <v>2</v>
      </c>
      <c r="U95" s="2"/>
      <c r="V95" s="2"/>
      <c r="W95" s="2"/>
      <c r="X95" s="2"/>
      <c r="Y95" s="2"/>
      <c r="Z95" s="2"/>
      <c r="AA95" s="2"/>
      <c r="AB95" s="2"/>
      <c r="AC95" s="2"/>
      <c r="AD95" s="2"/>
      <c r="AE95" s="2"/>
      <c r="AF95" s="2"/>
      <c r="AG95" s="2"/>
      <c r="AH95" s="2"/>
      <c r="AI95" s="2"/>
      <c r="AJ95" s="2"/>
      <c r="AK95" s="19"/>
      <c r="AL95" s="2"/>
    </row>
    <row r="96" spans="2:49" x14ac:dyDescent="0.25">
      <c r="B96" s="2"/>
      <c r="C96" s="2"/>
      <c r="D96" s="2"/>
      <c r="E96" s="2"/>
      <c r="F96" s="57">
        <v>3</v>
      </c>
      <c r="G96" s="2"/>
      <c r="H96" s="57">
        <v>3</v>
      </c>
      <c r="I96" s="2"/>
      <c r="J96" s="57">
        <v>3</v>
      </c>
      <c r="K96" s="2"/>
      <c r="L96" s="57">
        <v>3</v>
      </c>
      <c r="M96" s="2"/>
      <c r="N96" s="57">
        <v>3</v>
      </c>
      <c r="O96" s="2"/>
      <c r="P96" s="57">
        <v>3</v>
      </c>
      <c r="Q96" s="2"/>
      <c r="R96" s="57">
        <v>3</v>
      </c>
      <c r="S96" s="2"/>
      <c r="T96" s="57">
        <v>3</v>
      </c>
      <c r="U96" s="2"/>
      <c r="V96" s="2"/>
      <c r="W96" s="2"/>
      <c r="X96" s="2"/>
      <c r="Y96" s="2"/>
      <c r="Z96" s="2"/>
      <c r="AA96" s="2"/>
      <c r="AB96" s="2"/>
      <c r="AC96" s="2"/>
      <c r="AD96" s="2"/>
      <c r="AE96" s="2"/>
      <c r="AF96" s="2"/>
      <c r="AG96" s="2"/>
      <c r="AH96" s="2"/>
      <c r="AI96" s="2"/>
      <c r="AJ96" s="2"/>
      <c r="AK96" s="19"/>
      <c r="AL96" s="2"/>
    </row>
    <row r="97" spans="2:38" x14ac:dyDescent="0.25">
      <c r="B97" s="2"/>
      <c r="C97" s="2"/>
      <c r="D97" s="2"/>
      <c r="E97" s="2"/>
      <c r="F97" s="2"/>
      <c r="G97" s="2"/>
      <c r="H97" s="57">
        <v>4</v>
      </c>
      <c r="I97" s="2"/>
      <c r="J97" s="57">
        <v>4</v>
      </c>
      <c r="K97" s="2"/>
      <c r="L97" s="57">
        <v>4</v>
      </c>
      <c r="M97" s="2"/>
      <c r="N97" s="57">
        <v>4</v>
      </c>
      <c r="O97" s="2"/>
      <c r="P97" s="57">
        <v>4</v>
      </c>
      <c r="Q97" s="2"/>
      <c r="R97" s="57">
        <v>4</v>
      </c>
      <c r="S97" s="2"/>
      <c r="T97" s="57">
        <v>4</v>
      </c>
      <c r="U97" s="2"/>
      <c r="V97" s="2"/>
      <c r="W97" s="2"/>
      <c r="X97" s="2"/>
      <c r="Y97" s="2"/>
      <c r="Z97" s="2"/>
      <c r="AA97" s="2"/>
      <c r="AB97" s="2"/>
      <c r="AC97" s="2"/>
      <c r="AD97" s="2"/>
      <c r="AE97" s="2"/>
      <c r="AF97" s="2"/>
      <c r="AG97" s="2"/>
      <c r="AH97" s="2"/>
      <c r="AI97" s="2"/>
      <c r="AJ97" s="2"/>
      <c r="AK97" s="19"/>
      <c r="AL97" s="2"/>
    </row>
    <row r="98" spans="2:38" x14ac:dyDescent="0.25">
      <c r="B98" s="2"/>
      <c r="C98" s="2"/>
      <c r="D98" s="2"/>
      <c r="E98" s="2"/>
      <c r="F98" s="2"/>
      <c r="G98" s="2"/>
      <c r="H98" s="2"/>
      <c r="I98" s="2"/>
      <c r="J98" s="57">
        <v>5</v>
      </c>
      <c r="K98" s="2"/>
      <c r="L98" s="57">
        <v>5</v>
      </c>
      <c r="M98" s="2"/>
      <c r="N98" s="57">
        <v>5</v>
      </c>
      <c r="O98" s="2"/>
      <c r="P98" s="57">
        <v>5</v>
      </c>
      <c r="Q98" s="2"/>
      <c r="R98" s="57">
        <v>5</v>
      </c>
      <c r="S98" s="2"/>
      <c r="T98" s="57">
        <v>5</v>
      </c>
      <c r="U98" s="2"/>
      <c r="V98" s="2"/>
      <c r="W98" s="2"/>
      <c r="X98" s="2"/>
      <c r="Y98" s="2"/>
      <c r="Z98" s="2"/>
      <c r="AA98" s="2"/>
      <c r="AB98" s="2"/>
      <c r="AC98" s="2"/>
      <c r="AD98" s="2"/>
      <c r="AE98" s="2"/>
      <c r="AF98" s="2"/>
      <c r="AG98" s="2"/>
      <c r="AH98" s="2"/>
      <c r="AI98" s="2"/>
      <c r="AJ98" s="2"/>
      <c r="AK98" s="19"/>
      <c r="AL98" s="2"/>
    </row>
    <row r="99" spans="2:38" x14ac:dyDescent="0.25">
      <c r="B99" s="2"/>
      <c r="C99" s="2"/>
      <c r="D99" s="2"/>
      <c r="E99" s="2"/>
      <c r="F99" s="2"/>
      <c r="G99" s="2"/>
      <c r="H99" s="2"/>
      <c r="I99" s="2"/>
      <c r="J99" s="2"/>
      <c r="K99" s="2"/>
      <c r="L99" s="57">
        <v>6</v>
      </c>
      <c r="M99" s="2"/>
      <c r="N99" s="57">
        <v>6</v>
      </c>
      <c r="O99" s="2"/>
      <c r="P99" s="57">
        <v>6</v>
      </c>
      <c r="Q99" s="2"/>
      <c r="R99" s="57">
        <v>6</v>
      </c>
      <c r="S99" s="2"/>
      <c r="T99" s="57">
        <v>6</v>
      </c>
      <c r="U99" s="2"/>
      <c r="V99" s="2"/>
      <c r="W99" s="2"/>
      <c r="X99" s="2"/>
      <c r="Y99" s="2"/>
      <c r="Z99" s="2"/>
      <c r="AA99" s="2"/>
      <c r="AB99" s="2"/>
      <c r="AC99" s="2"/>
      <c r="AD99" s="2"/>
      <c r="AE99" s="2"/>
      <c r="AF99" s="2"/>
      <c r="AG99" s="2"/>
      <c r="AH99" s="2"/>
      <c r="AI99" s="2"/>
      <c r="AJ99" s="2"/>
      <c r="AK99" s="19"/>
      <c r="AL99" s="2"/>
    </row>
    <row r="100" spans="2:38" x14ac:dyDescent="0.25">
      <c r="B100" s="2"/>
      <c r="C100" s="2"/>
      <c r="D100" s="2"/>
      <c r="E100" s="2"/>
      <c r="F100" s="2"/>
      <c r="G100" s="2"/>
      <c r="H100" s="2"/>
      <c r="I100" s="2"/>
      <c r="J100" s="2"/>
      <c r="K100" s="2"/>
      <c r="L100" s="2"/>
      <c r="M100" s="2"/>
      <c r="N100" s="57">
        <v>7</v>
      </c>
      <c r="O100" s="2"/>
      <c r="P100" s="57">
        <v>7</v>
      </c>
      <c r="Q100" s="2"/>
      <c r="R100" s="57">
        <v>7</v>
      </c>
      <c r="S100" s="2"/>
      <c r="T100" s="57">
        <v>7</v>
      </c>
      <c r="U100" s="2"/>
      <c r="V100" s="2"/>
      <c r="W100" s="2"/>
      <c r="X100" s="2"/>
      <c r="Y100" s="2"/>
      <c r="Z100" s="2"/>
      <c r="AA100" s="2"/>
      <c r="AB100" s="2"/>
      <c r="AC100" s="2"/>
      <c r="AD100" s="2"/>
      <c r="AE100" s="2"/>
      <c r="AF100" s="2"/>
      <c r="AG100" s="2"/>
      <c r="AH100" s="2"/>
      <c r="AI100" s="2"/>
      <c r="AJ100" s="2"/>
      <c r="AK100" s="19"/>
      <c r="AL100" s="2"/>
    </row>
    <row r="101" spans="2:38" x14ac:dyDescent="0.25">
      <c r="B101" s="2"/>
      <c r="C101" s="2"/>
      <c r="D101" s="2"/>
      <c r="E101" s="2"/>
      <c r="F101" s="2"/>
      <c r="G101" s="2"/>
      <c r="H101" s="2"/>
      <c r="I101" s="2"/>
      <c r="J101" s="2"/>
      <c r="K101" s="2"/>
      <c r="L101" s="2"/>
      <c r="M101" s="2"/>
      <c r="N101" s="2"/>
      <c r="O101" s="2"/>
      <c r="P101" s="57">
        <v>8</v>
      </c>
      <c r="Q101" s="2"/>
      <c r="R101" s="57">
        <v>8</v>
      </c>
      <c r="S101" s="2"/>
      <c r="T101" s="57">
        <v>8</v>
      </c>
      <c r="U101" s="2"/>
      <c r="V101" s="2"/>
      <c r="W101" s="2"/>
      <c r="X101" s="2"/>
      <c r="Y101" s="2"/>
      <c r="Z101" s="2"/>
      <c r="AA101" s="2"/>
      <c r="AB101" s="2"/>
      <c r="AC101" s="2"/>
      <c r="AD101" s="2"/>
      <c r="AE101" s="2"/>
      <c r="AF101" s="2"/>
      <c r="AG101" s="2"/>
      <c r="AH101" s="2"/>
      <c r="AI101" s="2"/>
      <c r="AJ101" s="2"/>
      <c r="AK101" s="19"/>
      <c r="AL101" s="2"/>
    </row>
    <row r="102" spans="2:38" x14ac:dyDescent="0.25">
      <c r="B102" s="2"/>
      <c r="C102" s="2"/>
      <c r="D102" s="2"/>
      <c r="E102" s="2"/>
      <c r="F102" s="2"/>
      <c r="G102" s="2"/>
      <c r="H102" s="2"/>
      <c r="I102" s="2"/>
      <c r="J102" s="2"/>
      <c r="K102" s="2"/>
      <c r="L102" s="2"/>
      <c r="M102" s="2"/>
      <c r="N102" s="2"/>
      <c r="O102" s="2"/>
      <c r="P102" s="2"/>
      <c r="Q102" s="2"/>
      <c r="R102" s="57">
        <v>9</v>
      </c>
      <c r="S102" s="2"/>
      <c r="T102" s="57">
        <v>9</v>
      </c>
      <c r="U102" s="2"/>
      <c r="V102" s="2"/>
      <c r="W102" s="2"/>
      <c r="X102" s="2"/>
      <c r="Y102" s="2"/>
      <c r="Z102" s="2"/>
      <c r="AA102" s="2"/>
      <c r="AB102" s="2"/>
      <c r="AC102" s="2"/>
      <c r="AD102" s="2"/>
      <c r="AE102" s="2"/>
      <c r="AF102" s="2"/>
      <c r="AG102" s="2"/>
      <c r="AH102" s="2"/>
      <c r="AI102" s="2"/>
      <c r="AJ102" s="2"/>
      <c r="AK102" s="19"/>
      <c r="AL102" s="2"/>
    </row>
    <row r="103" spans="2:38" x14ac:dyDescent="0.25">
      <c r="B103" s="2"/>
      <c r="C103" s="2"/>
      <c r="D103" s="19"/>
      <c r="E103" s="2"/>
      <c r="F103" s="19"/>
      <c r="G103" s="2"/>
      <c r="H103" s="19"/>
      <c r="I103" s="2"/>
      <c r="J103" s="19"/>
      <c r="K103" s="2"/>
      <c r="L103" s="19"/>
      <c r="M103" s="2"/>
      <c r="N103" s="19"/>
      <c r="O103" s="2"/>
      <c r="P103" s="19"/>
      <c r="Q103" s="2"/>
      <c r="R103" s="19"/>
      <c r="S103" s="2"/>
      <c r="T103" s="57">
        <v>10</v>
      </c>
      <c r="U103" s="2"/>
      <c r="V103" s="2"/>
      <c r="W103" s="2"/>
      <c r="X103" s="2"/>
      <c r="Y103" s="2"/>
      <c r="Z103" s="2"/>
      <c r="AA103" s="2"/>
      <c r="AB103" s="2"/>
      <c r="AC103" s="2"/>
      <c r="AD103" s="2"/>
      <c r="AE103" s="2"/>
      <c r="AF103" s="2"/>
      <c r="AG103" s="2"/>
      <c r="AH103" s="2"/>
      <c r="AI103" s="2"/>
      <c r="AJ103" s="2"/>
      <c r="AK103" s="19"/>
      <c r="AL103" s="2"/>
    </row>
    <row r="104" spans="2:38" x14ac:dyDescent="0.25">
      <c r="B104" s="19"/>
      <c r="C104" s="19"/>
      <c r="E104" s="19"/>
      <c r="G104" s="19"/>
      <c r="I104" s="19"/>
      <c r="K104" s="19"/>
      <c r="M104" s="19"/>
      <c r="O104" s="19"/>
      <c r="Q104" s="19"/>
      <c r="S104" s="19"/>
      <c r="U104" s="19"/>
      <c r="V104" s="19"/>
      <c r="AD104" s="19"/>
      <c r="AE104" s="19"/>
      <c r="AF104" s="19"/>
      <c r="AG104" s="70"/>
      <c r="AH104" s="70"/>
      <c r="AI104" s="70"/>
      <c r="AJ104" s="70"/>
      <c r="AK104" s="19"/>
      <c r="AL104" s="19"/>
    </row>
    <row r="118" spans="2:40" x14ac:dyDescent="0.25">
      <c r="D118" s="19"/>
      <c r="F118" s="19"/>
      <c r="H118" s="19"/>
      <c r="J118" s="19"/>
      <c r="L118" s="19"/>
      <c r="N118" s="19"/>
      <c r="P118" s="19"/>
      <c r="R118" s="19"/>
      <c r="T118" s="19"/>
    </row>
    <row r="119" spans="2:40" x14ac:dyDescent="0.25">
      <c r="B119" s="19"/>
      <c r="C119" s="19"/>
      <c r="E119" s="19"/>
      <c r="G119" s="19"/>
      <c r="I119" s="19"/>
      <c r="K119" s="19"/>
      <c r="M119" s="19"/>
      <c r="O119" s="19"/>
      <c r="Q119" s="19"/>
      <c r="S119" s="19"/>
      <c r="U119" s="19"/>
      <c r="V119" s="19"/>
      <c r="W119" s="19"/>
      <c r="X119" s="19"/>
      <c r="Y119" s="19"/>
      <c r="Z119" s="19"/>
      <c r="AA119" s="19"/>
      <c r="AB119" s="19"/>
      <c r="AC119" s="19"/>
      <c r="AD119" s="19"/>
      <c r="AE119" s="19"/>
      <c r="AF119" s="19"/>
      <c r="AG119" s="70"/>
      <c r="AH119" s="70"/>
      <c r="AI119" s="70"/>
      <c r="AJ119" s="70"/>
    </row>
    <row r="125" spans="2:40" x14ac:dyDescent="0.25">
      <c r="AN125" s="19"/>
    </row>
    <row r="126" spans="2:40" x14ac:dyDescent="0.25">
      <c r="AN126" s="19"/>
    </row>
    <row r="127" spans="2:40" x14ac:dyDescent="0.25">
      <c r="AN127" s="19"/>
    </row>
    <row r="128" spans="2:40" x14ac:dyDescent="0.25">
      <c r="AN128" s="19"/>
    </row>
    <row r="129" spans="40:50" x14ac:dyDescent="0.25">
      <c r="AN129" s="19"/>
    </row>
    <row r="130" spans="40:50" x14ac:dyDescent="0.25">
      <c r="AN130" s="19"/>
    </row>
    <row r="131" spans="40:50" x14ac:dyDescent="0.25">
      <c r="AN131" s="19"/>
    </row>
    <row r="132" spans="40:50" x14ac:dyDescent="0.25">
      <c r="AN132" s="19"/>
    </row>
    <row r="133" spans="40:50" x14ac:dyDescent="0.25">
      <c r="AN133" s="19"/>
    </row>
    <row r="134" spans="40:50" x14ac:dyDescent="0.25">
      <c r="AN134" s="19"/>
    </row>
    <row r="135" spans="40:50" x14ac:dyDescent="0.25">
      <c r="AN135" s="19"/>
    </row>
    <row r="136" spans="40:50" x14ac:dyDescent="0.25">
      <c r="AN136" s="19"/>
    </row>
    <row r="137" spans="40:50" x14ac:dyDescent="0.25">
      <c r="AN137" s="19"/>
    </row>
    <row r="138" spans="40:50" x14ac:dyDescent="0.25">
      <c r="AN138" s="19"/>
      <c r="AX138" s="19"/>
    </row>
    <row r="139" spans="40:50" x14ac:dyDescent="0.25">
      <c r="AN139" s="19"/>
      <c r="AX139" s="19"/>
    </row>
    <row r="140" spans="40:50" x14ac:dyDescent="0.25">
      <c r="AN140" s="19"/>
      <c r="AX140" s="19"/>
    </row>
    <row r="141" spans="40:50" x14ac:dyDescent="0.25">
      <c r="AN141" s="19"/>
      <c r="AO141" s="19"/>
      <c r="AP141" s="19"/>
      <c r="AQ141" s="19"/>
      <c r="AR141" s="19"/>
      <c r="AS141" s="19"/>
      <c r="AT141" s="19"/>
      <c r="AU141" s="19"/>
      <c r="AV141" s="19"/>
      <c r="AW141" s="19"/>
      <c r="AX141" s="19"/>
    </row>
    <row r="142" spans="40:50" x14ac:dyDescent="0.25">
      <c r="AN142" s="19"/>
      <c r="AO142" s="19"/>
      <c r="AP142" s="19"/>
      <c r="AQ142" s="19"/>
      <c r="AR142" s="19"/>
      <c r="AS142" s="19"/>
      <c r="AT142" s="19"/>
      <c r="AU142" s="19"/>
      <c r="AV142" s="19"/>
      <c r="AW142" s="19"/>
      <c r="AX142" s="19"/>
    </row>
    <row r="143" spans="40:50" x14ac:dyDescent="0.25">
      <c r="AN143" s="19"/>
      <c r="AO143" s="19"/>
      <c r="AP143" s="19"/>
      <c r="AQ143" s="19"/>
      <c r="AR143" s="19"/>
      <c r="AS143" s="19"/>
      <c r="AT143" s="19"/>
      <c r="AU143" s="19"/>
      <c r="AV143" s="19"/>
      <c r="AW143" s="19"/>
      <c r="AX143" s="19"/>
    </row>
    <row r="144" spans="40:50" x14ac:dyDescent="0.25">
      <c r="AN144" s="19"/>
      <c r="AO144" s="19"/>
      <c r="AP144" s="19"/>
      <c r="AQ144" s="19"/>
      <c r="AR144" s="19"/>
      <c r="AS144" s="19"/>
      <c r="AT144" s="19"/>
      <c r="AU144" s="19"/>
      <c r="AV144" s="19"/>
      <c r="AW144" s="19"/>
      <c r="AX144" s="19"/>
    </row>
    <row r="145" spans="2:51" x14ac:dyDescent="0.25">
      <c r="AN145" s="19"/>
      <c r="AO145" s="19"/>
      <c r="AP145" s="19"/>
      <c r="AQ145" s="19"/>
      <c r="AR145" s="19"/>
      <c r="AS145" s="19"/>
      <c r="AT145" s="19"/>
      <c r="AU145" s="19"/>
      <c r="AV145" s="19"/>
      <c r="AW145" s="19"/>
      <c r="AX145" s="19"/>
    </row>
    <row r="146" spans="2:51" x14ac:dyDescent="0.25">
      <c r="AN146" s="19"/>
      <c r="AO146" s="19"/>
      <c r="AP146" s="19"/>
      <c r="AQ146" s="19"/>
      <c r="AR146" s="19"/>
      <c r="AS146" s="19"/>
      <c r="AT146" s="19"/>
      <c r="AU146" s="19"/>
      <c r="AV146" s="19"/>
      <c r="AW146" s="19"/>
      <c r="AX146" s="19"/>
    </row>
    <row r="147" spans="2:51" x14ac:dyDescent="0.25">
      <c r="AN147" s="19"/>
      <c r="AO147" s="19"/>
      <c r="AP147" s="19"/>
      <c r="AQ147" s="19"/>
      <c r="AR147" s="19"/>
      <c r="AS147" s="19"/>
      <c r="AT147" s="19"/>
      <c r="AU147" s="19"/>
      <c r="AV147" s="19"/>
      <c r="AW147" s="19"/>
      <c r="AX147" s="19"/>
    </row>
    <row r="148" spans="2:51" x14ac:dyDescent="0.25">
      <c r="AN148" s="19"/>
      <c r="AO148" s="19"/>
      <c r="AP148" s="19"/>
      <c r="AQ148" s="19"/>
      <c r="AR148" s="19"/>
      <c r="AS148" s="19"/>
      <c r="AT148" s="19"/>
      <c r="AU148" s="19"/>
      <c r="AV148" s="19"/>
      <c r="AW148" s="19"/>
      <c r="AX148" s="19"/>
    </row>
    <row r="149" spans="2:51" x14ac:dyDescent="0.25">
      <c r="AN149" s="19"/>
      <c r="AO149" s="19"/>
      <c r="AP149" s="19"/>
      <c r="AQ149" s="19"/>
      <c r="AR149" s="19"/>
      <c r="AS149" s="19"/>
      <c r="AT149" s="19"/>
      <c r="AU149" s="19"/>
      <c r="AV149" s="19"/>
      <c r="AW149" s="19"/>
      <c r="AX149" s="19"/>
    </row>
    <row r="150" spans="2:51" x14ac:dyDescent="0.25">
      <c r="AN150" s="19"/>
      <c r="AO150" s="19"/>
      <c r="AP150" s="19"/>
      <c r="AQ150" s="19"/>
      <c r="AR150" s="19"/>
      <c r="AS150" s="19"/>
      <c r="AT150" s="19"/>
      <c r="AU150" s="19"/>
      <c r="AV150" s="19"/>
      <c r="AW150" s="19"/>
      <c r="AX150" s="19"/>
    </row>
    <row r="151" spans="2:51" x14ac:dyDescent="0.25">
      <c r="AN151" s="19"/>
      <c r="AO151" s="19"/>
      <c r="AP151" s="19"/>
      <c r="AQ151" s="19"/>
      <c r="AR151" s="19"/>
      <c r="AS151" s="19"/>
      <c r="AT151" s="19"/>
      <c r="AU151" s="19"/>
      <c r="AV151" s="19"/>
      <c r="AW151" s="19"/>
      <c r="AX151" s="19"/>
    </row>
    <row r="152" spans="2:51" x14ac:dyDescent="0.25">
      <c r="AN152" s="19"/>
      <c r="AO152" s="19"/>
      <c r="AP152" s="19"/>
      <c r="AQ152" s="19"/>
      <c r="AR152" s="19"/>
      <c r="AS152" s="19"/>
      <c r="AT152" s="19"/>
      <c r="AU152" s="19"/>
      <c r="AV152" s="19"/>
      <c r="AW152" s="19"/>
      <c r="AX152" s="19"/>
    </row>
    <row r="153" spans="2:51" x14ac:dyDescent="0.25">
      <c r="D153" s="19"/>
      <c r="F153" s="19"/>
      <c r="H153" s="19"/>
      <c r="J153" s="19"/>
      <c r="L153" s="19"/>
      <c r="N153" s="19"/>
      <c r="P153" s="19"/>
      <c r="R153" s="19"/>
      <c r="T153" s="19"/>
      <c r="AN153" s="19"/>
      <c r="AO153" s="19"/>
      <c r="AP153" s="19"/>
      <c r="AQ153" s="19"/>
      <c r="AR153" s="19"/>
      <c r="AS153" s="19"/>
      <c r="AT153" s="19"/>
      <c r="AU153" s="19"/>
      <c r="AV153" s="19"/>
      <c r="AW153" s="19"/>
      <c r="AX153" s="19"/>
    </row>
    <row r="154" spans="2:51" x14ac:dyDescent="0.25">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70"/>
      <c r="AH154" s="70"/>
      <c r="AI154" s="70"/>
      <c r="AJ154" s="70"/>
      <c r="AN154" s="19"/>
      <c r="AO154" s="19"/>
      <c r="AP154" s="19"/>
      <c r="AQ154" s="19"/>
      <c r="AR154" s="19"/>
      <c r="AS154" s="19"/>
      <c r="AT154" s="19"/>
      <c r="AU154" s="19"/>
      <c r="AV154" s="19"/>
      <c r="AW154" s="19"/>
      <c r="AX154" s="19"/>
    </row>
    <row r="155" spans="2:51" x14ac:dyDescent="0.25">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70"/>
      <c r="AH155" s="70"/>
      <c r="AI155" s="70"/>
      <c r="AJ155" s="70"/>
      <c r="AN155" s="19"/>
      <c r="AO155" s="19"/>
      <c r="AP155" s="19"/>
      <c r="AQ155" s="19"/>
      <c r="AR155" s="19"/>
      <c r="AS155" s="19"/>
      <c r="AT155" s="19"/>
      <c r="AU155" s="19"/>
      <c r="AV155" s="19"/>
      <c r="AW155" s="19"/>
      <c r="AX155" s="19"/>
    </row>
    <row r="156" spans="2:51" x14ac:dyDescent="0.25">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70"/>
      <c r="AH156" s="70"/>
      <c r="AI156" s="70"/>
      <c r="AJ156" s="70"/>
      <c r="AN156" s="19"/>
      <c r="AO156" s="19"/>
      <c r="AP156" s="19"/>
      <c r="AQ156" s="19"/>
      <c r="AR156" s="19"/>
      <c r="AS156" s="19"/>
      <c r="AT156" s="19"/>
      <c r="AU156" s="19"/>
      <c r="AV156" s="19"/>
      <c r="AW156" s="19"/>
      <c r="AX156" s="19"/>
    </row>
    <row r="157" spans="2:51" x14ac:dyDescent="0.25">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70"/>
      <c r="AH157" s="70"/>
      <c r="AI157" s="70"/>
      <c r="AJ157" s="70"/>
      <c r="AN157" s="19"/>
      <c r="AO157" s="19"/>
      <c r="AP157" s="19"/>
      <c r="AQ157" s="19"/>
      <c r="AR157" s="19"/>
      <c r="AS157" s="19"/>
      <c r="AT157" s="19"/>
      <c r="AU157" s="19"/>
      <c r="AV157" s="19"/>
      <c r="AW157" s="19"/>
      <c r="AX157" s="19"/>
      <c r="AY157" s="19"/>
    </row>
    <row r="158" spans="2:51" x14ac:dyDescent="0.25">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70"/>
      <c r="AH158" s="70"/>
      <c r="AI158" s="70"/>
      <c r="AJ158" s="70"/>
      <c r="AN158" s="19"/>
      <c r="AO158" s="19"/>
      <c r="AP158" s="19"/>
      <c r="AQ158" s="19"/>
      <c r="AR158" s="19"/>
      <c r="AS158" s="19"/>
      <c r="AT158" s="19"/>
      <c r="AU158" s="19"/>
      <c r="AV158" s="19"/>
      <c r="AW158" s="19"/>
      <c r="AX158" s="19"/>
      <c r="AY158" s="19"/>
    </row>
    <row r="159" spans="2:51" x14ac:dyDescent="0.25">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70"/>
      <c r="AH159" s="70"/>
      <c r="AI159" s="70"/>
      <c r="AJ159" s="70"/>
      <c r="AN159" s="19"/>
      <c r="AO159" s="19"/>
      <c r="AP159" s="19"/>
      <c r="AQ159" s="19"/>
      <c r="AR159" s="19"/>
      <c r="AS159" s="19"/>
      <c r="AT159" s="19"/>
      <c r="AU159" s="19"/>
      <c r="AV159" s="19"/>
      <c r="AW159" s="19"/>
      <c r="AX159" s="19"/>
      <c r="AY159" s="19"/>
    </row>
    <row r="160" spans="2:51" x14ac:dyDescent="0.25">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70"/>
      <c r="AH160" s="70"/>
      <c r="AI160" s="70"/>
      <c r="AJ160" s="70"/>
      <c r="AN160" s="19"/>
      <c r="AO160" s="19"/>
      <c r="AP160" s="19"/>
      <c r="AQ160" s="19"/>
      <c r="AR160" s="19"/>
      <c r="AS160" s="19"/>
      <c r="AT160" s="19"/>
      <c r="AU160" s="19"/>
      <c r="AV160" s="19"/>
      <c r="AW160" s="19"/>
      <c r="AX160" s="19"/>
      <c r="AY160" s="19"/>
    </row>
    <row r="161" spans="2:51" x14ac:dyDescent="0.25">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70"/>
      <c r="AH161" s="70"/>
      <c r="AI161" s="70"/>
      <c r="AJ161" s="70"/>
      <c r="AN161" s="19"/>
      <c r="AO161" s="19"/>
      <c r="AP161" s="19"/>
      <c r="AQ161" s="19"/>
      <c r="AR161" s="19"/>
      <c r="AS161" s="19"/>
      <c r="AT161" s="19"/>
      <c r="AU161" s="19"/>
      <c r="AV161" s="19"/>
      <c r="AW161" s="19"/>
      <c r="AX161" s="19"/>
      <c r="AY161" s="19"/>
    </row>
    <row r="162" spans="2:51" x14ac:dyDescent="0.25">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70"/>
      <c r="AH162" s="70"/>
      <c r="AI162" s="70"/>
      <c r="AJ162" s="70"/>
      <c r="AN162" s="19"/>
      <c r="AO162" s="19"/>
      <c r="AP162" s="19"/>
      <c r="AQ162" s="19"/>
      <c r="AR162" s="19"/>
      <c r="AS162" s="19"/>
      <c r="AT162" s="19"/>
      <c r="AU162" s="19"/>
      <c r="AV162" s="19"/>
      <c r="AW162" s="19"/>
      <c r="AX162" s="19"/>
      <c r="AY162" s="19"/>
    </row>
    <row r="163" spans="2:51" x14ac:dyDescent="0.25">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70"/>
      <c r="AH163" s="70"/>
      <c r="AI163" s="70"/>
      <c r="AJ163" s="70"/>
      <c r="AN163" s="19"/>
      <c r="AO163" s="19"/>
      <c r="AP163" s="19"/>
      <c r="AQ163" s="19"/>
      <c r="AR163" s="19"/>
      <c r="AS163" s="19"/>
      <c r="AT163" s="19"/>
      <c r="AU163" s="19"/>
      <c r="AV163" s="19"/>
      <c r="AW163" s="19"/>
      <c r="AX163" s="19"/>
      <c r="AY163" s="19"/>
    </row>
    <row r="164" spans="2:51" x14ac:dyDescent="0.25">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70"/>
      <c r="AH164" s="70"/>
      <c r="AI164" s="70"/>
      <c r="AJ164" s="70"/>
      <c r="AN164" s="19"/>
      <c r="AO164" s="19"/>
      <c r="AP164" s="19"/>
      <c r="AQ164" s="19"/>
      <c r="AR164" s="19"/>
      <c r="AS164" s="19"/>
      <c r="AT164" s="19"/>
      <c r="AU164" s="19"/>
      <c r="AV164" s="19"/>
      <c r="AW164" s="19"/>
      <c r="AX164" s="19"/>
      <c r="AY164" s="19"/>
    </row>
    <row r="165" spans="2:51" x14ac:dyDescent="0.25">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70"/>
      <c r="AH165" s="70"/>
      <c r="AI165" s="70"/>
      <c r="AJ165" s="70"/>
      <c r="AO165" s="19"/>
      <c r="AP165" s="19"/>
      <c r="AQ165" s="19"/>
      <c r="AR165" s="19"/>
      <c r="AS165" s="19"/>
      <c r="AT165" s="19"/>
      <c r="AU165" s="19"/>
      <c r="AV165" s="19"/>
      <c r="AW165" s="19"/>
    </row>
    <row r="166" spans="2:51" x14ac:dyDescent="0.25">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70"/>
      <c r="AH166" s="70"/>
      <c r="AI166" s="70"/>
      <c r="AJ166" s="70"/>
      <c r="AO166" s="19"/>
      <c r="AP166" s="19"/>
      <c r="AQ166" s="19"/>
      <c r="AR166" s="19"/>
      <c r="AS166" s="19"/>
      <c r="AT166" s="19"/>
      <c r="AU166" s="19"/>
      <c r="AV166" s="19"/>
      <c r="AW166" s="19"/>
    </row>
    <row r="167" spans="2:51" x14ac:dyDescent="0.25">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70"/>
      <c r="AH167" s="70"/>
      <c r="AI167" s="70"/>
      <c r="AJ167" s="70"/>
      <c r="AO167" s="19"/>
      <c r="AP167" s="19"/>
      <c r="AQ167" s="19"/>
      <c r="AR167" s="19"/>
      <c r="AS167" s="19"/>
      <c r="AT167" s="19"/>
      <c r="AU167" s="19"/>
      <c r="AV167" s="19"/>
      <c r="AW167" s="19"/>
    </row>
    <row r="168" spans="2:51" x14ac:dyDescent="0.25">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70"/>
      <c r="AH168" s="70"/>
      <c r="AI168" s="70"/>
      <c r="AJ168" s="70"/>
    </row>
    <row r="169" spans="2:51" x14ac:dyDescent="0.25">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70"/>
      <c r="AH169" s="70"/>
      <c r="AI169" s="70"/>
      <c r="AJ169" s="70"/>
    </row>
    <row r="170" spans="2:51" x14ac:dyDescent="0.25">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70"/>
      <c r="AH170" s="70"/>
      <c r="AI170" s="70"/>
      <c r="AJ170" s="70"/>
    </row>
    <row r="171" spans="2:51" x14ac:dyDescent="0.25">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70"/>
      <c r="AH171" s="70"/>
      <c r="AI171" s="70"/>
      <c r="AJ171" s="70"/>
    </row>
    <row r="172" spans="2:51" x14ac:dyDescent="0.25">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70"/>
      <c r="AH172" s="70"/>
      <c r="AI172" s="70"/>
      <c r="AJ172" s="70"/>
    </row>
    <row r="173" spans="2:51" x14ac:dyDescent="0.25">
      <c r="B173" s="19"/>
      <c r="C173" s="19"/>
      <c r="E173" s="19"/>
      <c r="G173" s="19"/>
      <c r="I173" s="19"/>
      <c r="K173" s="19"/>
      <c r="M173" s="19"/>
      <c r="O173" s="19"/>
      <c r="Q173" s="19"/>
      <c r="S173" s="19"/>
      <c r="U173" s="19"/>
      <c r="V173" s="19"/>
      <c r="W173" s="19"/>
      <c r="X173" s="19"/>
      <c r="Y173" s="19"/>
      <c r="Z173" s="19"/>
      <c r="AA173" s="19"/>
      <c r="AB173" s="19"/>
      <c r="AC173" s="19"/>
      <c r="AD173" s="19"/>
      <c r="AE173" s="19"/>
      <c r="AF173" s="19"/>
      <c r="AG173" s="70"/>
      <c r="AH173" s="70"/>
      <c r="AI173" s="70"/>
      <c r="AJ173" s="70"/>
    </row>
  </sheetData>
  <sheetProtection password="C1ED" sheet="1" objects="1" scenarios="1" selectLockedCells="1"/>
  <mergeCells count="16">
    <mergeCell ref="BD5:BE5"/>
    <mergeCell ref="B2:BE3"/>
    <mergeCell ref="AO5:AY5"/>
    <mergeCell ref="BA5:BB5"/>
    <mergeCell ref="B5:AL5"/>
    <mergeCell ref="AO30:AQ30"/>
    <mergeCell ref="B29:AL29"/>
    <mergeCell ref="B48:AL48"/>
    <mergeCell ref="B41:AL41"/>
    <mergeCell ref="B55:AL55"/>
    <mergeCell ref="B71:AL71"/>
    <mergeCell ref="B92:AL92"/>
    <mergeCell ref="B83:AL83"/>
    <mergeCell ref="B61:AL61"/>
    <mergeCell ref="B17:AL17"/>
    <mergeCell ref="B66:AL66"/>
  </mergeCells>
  <dataValidations disablePrompts="1" count="1">
    <dataValidation type="list" allowBlank="1" showErrorMessage="1" prompt="1-12" sqref="AL59" xr:uid="{00000000-0002-0000-0100-000000000000}">
      <formula1>csalad</formula1>
    </dataValidation>
  </dataValidations>
  <pageMargins left="0.7" right="0.7" top="0.75" bottom="0.75" header="0.3" footer="0.3"/>
  <pageSetup paperSize="9" orientation="portrait" horizontalDpi="4294967292" verticalDpi="1200" r:id="rId1"/>
  <ignoredErrors>
    <ignoredError sqref="B39:AG39 B31:AG31 AI31 B32:AG32 AI32 B33:AG33 AI33 B34:AG34 AI34 B35:AG35 AI35 B36:AG36 AI36:AL36 B37:AG37 AI37:AL37 B38:AG38 AI38:AL38 AI39:AL39 AK31:AL31 AK32:AL32 AK33:AL33 AK34:AL34 AK35:AL35" numberStoredAsText="1"/>
  </ignoredErrors>
  <tableParts count="18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176"/>
  <sheetViews>
    <sheetView topLeftCell="A139" zoomScaleNormal="100" workbookViewId="0">
      <selection activeCell="B182" sqref="B182"/>
    </sheetView>
  </sheetViews>
  <sheetFormatPr baseColWidth="10" defaultRowHeight="15" x14ac:dyDescent="0.25"/>
  <cols>
    <col min="1" max="1" width="5.7109375" customWidth="1"/>
  </cols>
  <sheetData>
    <row r="2" spans="2:19" x14ac:dyDescent="0.25">
      <c r="B2" s="90" t="s">
        <v>291</v>
      </c>
      <c r="C2" s="503" t="s">
        <v>311</v>
      </c>
      <c r="D2" s="503"/>
      <c r="E2" s="503"/>
      <c r="F2" s="503"/>
      <c r="G2" s="503"/>
      <c r="H2" s="503"/>
    </row>
    <row r="3" spans="2:19" x14ac:dyDescent="0.25">
      <c r="B3" s="213" t="s">
        <v>312</v>
      </c>
      <c r="C3" s="110">
        <v>60</v>
      </c>
      <c r="D3" s="110">
        <v>80</v>
      </c>
      <c r="E3" s="110">
        <v>100</v>
      </c>
      <c r="F3" s="110">
        <v>120</v>
      </c>
      <c r="G3" s="213" t="s">
        <v>304</v>
      </c>
      <c r="H3" s="213" t="s">
        <v>294</v>
      </c>
    </row>
    <row r="4" spans="2:19" x14ac:dyDescent="0.25">
      <c r="B4" s="96">
        <v>1</v>
      </c>
      <c r="C4" s="78">
        <v>2</v>
      </c>
      <c r="D4" s="78">
        <v>3</v>
      </c>
      <c r="E4" s="78">
        <v>4</v>
      </c>
      <c r="F4" s="78">
        <v>5</v>
      </c>
      <c r="G4" s="78">
        <v>6</v>
      </c>
      <c r="H4" s="78">
        <v>7</v>
      </c>
    </row>
    <row r="5" spans="2:19" x14ac:dyDescent="0.25">
      <c r="B5" s="213" t="s">
        <v>27</v>
      </c>
      <c r="C5" s="79">
        <v>23.29</v>
      </c>
      <c r="D5" s="79">
        <v>21.64</v>
      </c>
      <c r="E5" s="79">
        <v>19.920000000000002</v>
      </c>
      <c r="F5" s="79">
        <v>18.16</v>
      </c>
      <c r="G5" s="79">
        <v>28.41</v>
      </c>
      <c r="H5" s="79">
        <v>396</v>
      </c>
    </row>
    <row r="6" spans="2:19" x14ac:dyDescent="0.25">
      <c r="B6" s="213" t="s">
        <v>22</v>
      </c>
      <c r="C6" s="79">
        <v>39.049999999999997</v>
      </c>
      <c r="D6" s="79">
        <v>37.130000000000003</v>
      </c>
      <c r="E6" s="79">
        <v>35.11</v>
      </c>
      <c r="F6" s="79">
        <v>33.01</v>
      </c>
      <c r="G6" s="79">
        <v>44.39</v>
      </c>
      <c r="H6" s="79">
        <v>495</v>
      </c>
    </row>
    <row r="7" spans="2:19" x14ac:dyDescent="0.25">
      <c r="B7" s="213" t="s">
        <v>26</v>
      </c>
      <c r="C7" s="79">
        <v>58.67</v>
      </c>
      <c r="D7" s="79">
        <v>56.46</v>
      </c>
      <c r="E7" s="79">
        <v>54.17</v>
      </c>
      <c r="F7" s="79">
        <v>51.79</v>
      </c>
      <c r="G7" s="79">
        <v>63.92</v>
      </c>
      <c r="H7" s="79">
        <v>594</v>
      </c>
    </row>
    <row r="8" spans="2:19" x14ac:dyDescent="0.25">
      <c r="B8" s="213" t="s">
        <v>288</v>
      </c>
      <c r="C8" s="79">
        <v>82.17</v>
      </c>
      <c r="D8" s="79">
        <v>79.650000000000006</v>
      </c>
      <c r="E8" s="79">
        <v>77.069999999999993</v>
      </c>
      <c r="F8" s="79">
        <v>74.41</v>
      </c>
      <c r="G8" s="79">
        <v>87.01</v>
      </c>
      <c r="H8" s="79">
        <v>693</v>
      </c>
    </row>
    <row r="9" spans="2:19" x14ac:dyDescent="0.25">
      <c r="B9" s="213" t="s">
        <v>275</v>
      </c>
      <c r="C9" s="79">
        <v>82.17</v>
      </c>
      <c r="D9" s="79">
        <v>79.650000000000006</v>
      </c>
      <c r="E9" s="79">
        <v>77.069999999999993</v>
      </c>
      <c r="F9" s="79">
        <v>74.41</v>
      </c>
      <c r="G9" s="79">
        <v>87.01</v>
      </c>
      <c r="H9" s="79">
        <v>693</v>
      </c>
    </row>
    <row r="10" spans="2:19" x14ac:dyDescent="0.25">
      <c r="B10" s="109"/>
      <c r="C10" s="109"/>
      <c r="D10" s="109"/>
      <c r="E10" s="109"/>
      <c r="F10" s="109"/>
      <c r="G10" s="109"/>
      <c r="H10" s="109"/>
      <c r="I10" s="109"/>
    </row>
    <row r="12" spans="2:19" x14ac:dyDescent="0.25">
      <c r="B12" s="90" t="s">
        <v>310</v>
      </c>
      <c r="C12" s="499" t="s">
        <v>334</v>
      </c>
      <c r="D12" s="500"/>
      <c r="E12" s="500"/>
      <c r="F12" s="501"/>
      <c r="H12" s="90" t="s">
        <v>303</v>
      </c>
      <c r="I12" s="213" t="s">
        <v>300</v>
      </c>
    </row>
    <row r="13" spans="2:19" x14ac:dyDescent="0.25">
      <c r="B13" s="212" t="s">
        <v>2</v>
      </c>
      <c r="C13" s="104">
        <v>60</v>
      </c>
      <c r="D13" s="104">
        <v>80</v>
      </c>
      <c r="E13" s="104">
        <v>100</v>
      </c>
      <c r="F13" s="104">
        <v>120</v>
      </c>
      <c r="H13" s="92">
        <v>1</v>
      </c>
      <c r="I13" s="93">
        <v>2</v>
      </c>
    </row>
    <row r="14" spans="2:19" x14ac:dyDescent="0.25">
      <c r="B14" s="104">
        <v>80</v>
      </c>
      <c r="C14" s="88">
        <v>21.5</v>
      </c>
      <c r="D14" s="88">
        <v>21.5</v>
      </c>
      <c r="E14" s="87">
        <v>19</v>
      </c>
      <c r="F14" s="87">
        <v>16</v>
      </c>
      <c r="H14" s="94" t="s">
        <v>33</v>
      </c>
      <c r="I14" s="84" t="s">
        <v>301</v>
      </c>
      <c r="L14" s="204"/>
      <c r="M14" s="204"/>
      <c r="N14" s="204"/>
      <c r="O14" s="204"/>
      <c r="P14" s="204"/>
      <c r="Q14" s="204"/>
      <c r="R14" s="204"/>
      <c r="S14" s="204"/>
    </row>
    <row r="15" spans="2:19" x14ac:dyDescent="0.25">
      <c r="B15" s="104">
        <v>100</v>
      </c>
      <c r="C15" s="88">
        <v>27</v>
      </c>
      <c r="D15" s="88">
        <v>27</v>
      </c>
      <c r="E15" s="87">
        <v>24</v>
      </c>
      <c r="F15" s="87">
        <v>22</v>
      </c>
      <c r="H15" s="95" t="s">
        <v>34</v>
      </c>
      <c r="I15" s="83" t="s">
        <v>301</v>
      </c>
      <c r="L15" s="204"/>
      <c r="M15" s="204"/>
      <c r="N15" s="204"/>
      <c r="O15" s="204"/>
      <c r="P15" s="204"/>
      <c r="Q15" s="204"/>
      <c r="R15" s="204"/>
      <c r="S15" s="204"/>
    </row>
    <row r="16" spans="2:19" x14ac:dyDescent="0.25">
      <c r="B16" s="104">
        <v>120</v>
      </c>
      <c r="C16" s="88">
        <v>32.5</v>
      </c>
      <c r="D16" s="88">
        <v>32.5</v>
      </c>
      <c r="E16" s="87">
        <v>30</v>
      </c>
      <c r="F16" s="87">
        <v>27</v>
      </c>
      <c r="H16" s="94" t="s">
        <v>35</v>
      </c>
      <c r="I16" s="84" t="s">
        <v>301</v>
      </c>
      <c r="L16" s="204"/>
      <c r="M16" s="204"/>
      <c r="N16" s="204"/>
      <c r="O16" s="204"/>
      <c r="P16" s="204"/>
      <c r="Q16" s="204"/>
      <c r="R16" s="204"/>
      <c r="S16" s="204"/>
    </row>
    <row r="17" spans="2:19" x14ac:dyDescent="0.25">
      <c r="B17" s="104">
        <v>140</v>
      </c>
      <c r="C17" s="88">
        <v>38</v>
      </c>
      <c r="D17" s="88">
        <v>38</v>
      </c>
      <c r="E17" s="87">
        <v>34</v>
      </c>
      <c r="F17" s="87">
        <v>31</v>
      </c>
      <c r="H17" s="95" t="s">
        <v>36</v>
      </c>
      <c r="I17" s="83" t="s">
        <v>301</v>
      </c>
      <c r="L17" s="204"/>
      <c r="M17" s="204"/>
      <c r="N17" s="204"/>
      <c r="O17" s="204"/>
      <c r="P17" s="204"/>
      <c r="Q17" s="204"/>
      <c r="R17" s="204"/>
      <c r="S17" s="204"/>
    </row>
    <row r="18" spans="2:19" x14ac:dyDescent="0.25">
      <c r="B18" s="104">
        <v>160</v>
      </c>
      <c r="C18" s="88">
        <v>43.5</v>
      </c>
      <c r="D18" s="88">
        <v>43.5</v>
      </c>
      <c r="E18" s="87">
        <v>39</v>
      </c>
      <c r="F18" s="87">
        <v>35</v>
      </c>
      <c r="H18" s="94" t="s">
        <v>37</v>
      </c>
      <c r="I18" s="84" t="s">
        <v>301</v>
      </c>
      <c r="L18" s="204"/>
      <c r="M18" s="204"/>
      <c r="N18" s="204"/>
      <c r="O18" s="204"/>
      <c r="P18" s="204"/>
      <c r="Q18" s="204"/>
      <c r="R18" s="204"/>
      <c r="S18" s="204"/>
    </row>
    <row r="19" spans="2:19" x14ac:dyDescent="0.25">
      <c r="B19" s="104">
        <v>180</v>
      </c>
      <c r="C19" s="88">
        <v>49</v>
      </c>
      <c r="D19" s="88">
        <v>49</v>
      </c>
      <c r="E19" s="87">
        <v>44</v>
      </c>
      <c r="F19" s="87">
        <v>40</v>
      </c>
      <c r="H19" s="95" t="s">
        <v>38</v>
      </c>
      <c r="I19" s="83" t="s">
        <v>301</v>
      </c>
      <c r="L19" s="204"/>
      <c r="M19" s="204"/>
      <c r="N19" s="204"/>
      <c r="O19" s="204"/>
      <c r="P19" s="204"/>
      <c r="Q19" s="204"/>
      <c r="R19" s="204"/>
      <c r="S19" s="204"/>
    </row>
    <row r="20" spans="2:19" x14ac:dyDescent="0.25">
      <c r="B20" s="104">
        <v>200</v>
      </c>
      <c r="C20" s="88">
        <v>54.5</v>
      </c>
      <c r="D20" s="88">
        <v>54.5</v>
      </c>
      <c r="E20" s="87">
        <v>50</v>
      </c>
      <c r="F20" s="87">
        <v>45</v>
      </c>
      <c r="H20" s="94" t="s">
        <v>39</v>
      </c>
      <c r="I20" s="84" t="s">
        <v>302</v>
      </c>
      <c r="L20" s="204"/>
      <c r="M20" s="204"/>
      <c r="N20" s="204"/>
      <c r="O20" s="204"/>
      <c r="P20" s="204"/>
      <c r="Q20" s="204"/>
      <c r="R20" s="204"/>
      <c r="S20" s="204"/>
    </row>
    <row r="21" spans="2:19" x14ac:dyDescent="0.25">
      <c r="B21" s="104">
        <v>220</v>
      </c>
      <c r="C21" s="88">
        <v>60</v>
      </c>
      <c r="D21" s="88">
        <v>60</v>
      </c>
      <c r="E21" s="87">
        <v>54</v>
      </c>
      <c r="F21" s="87">
        <v>48</v>
      </c>
      <c r="H21" s="95" t="s">
        <v>40</v>
      </c>
      <c r="I21" s="83" t="s">
        <v>301</v>
      </c>
      <c r="L21" s="204"/>
      <c r="M21" s="204"/>
      <c r="N21" s="204"/>
      <c r="O21" s="204"/>
      <c r="P21" s="204"/>
      <c r="Q21" s="204"/>
      <c r="R21" s="204"/>
      <c r="S21" s="204"/>
    </row>
    <row r="22" spans="2:19" x14ac:dyDescent="0.25">
      <c r="B22" s="104">
        <v>240</v>
      </c>
      <c r="C22" s="88">
        <v>65</v>
      </c>
      <c r="D22" s="88">
        <v>65</v>
      </c>
      <c r="E22" s="87">
        <v>59</v>
      </c>
      <c r="F22" s="87">
        <v>53</v>
      </c>
      <c r="H22" s="94" t="s">
        <v>41</v>
      </c>
      <c r="I22" s="84" t="s">
        <v>301</v>
      </c>
      <c r="L22" s="204"/>
      <c r="M22" s="204"/>
      <c r="N22" s="204"/>
      <c r="O22" s="204"/>
      <c r="P22" s="204"/>
      <c r="Q22" s="204"/>
      <c r="R22" s="204"/>
      <c r="S22" s="204"/>
    </row>
    <row r="23" spans="2:19" x14ac:dyDescent="0.25">
      <c r="H23" s="95" t="s">
        <v>42</v>
      </c>
      <c r="I23" s="83" t="s">
        <v>301</v>
      </c>
    </row>
    <row r="24" spans="2:19" x14ac:dyDescent="0.25">
      <c r="B24" s="90" t="s">
        <v>310</v>
      </c>
      <c r="C24" s="499" t="s">
        <v>307</v>
      </c>
      <c r="D24" s="500"/>
      <c r="E24" s="500"/>
      <c r="F24" s="501"/>
      <c r="H24" s="94" t="s">
        <v>43</v>
      </c>
      <c r="I24" s="84" t="s">
        <v>301</v>
      </c>
    </row>
    <row r="25" spans="2:19" x14ac:dyDescent="0.25">
      <c r="B25" s="110" t="s">
        <v>2</v>
      </c>
      <c r="C25" s="110">
        <v>60</v>
      </c>
      <c r="D25" s="110">
        <v>80</v>
      </c>
      <c r="E25" s="110">
        <v>100</v>
      </c>
      <c r="F25" s="110">
        <v>120</v>
      </c>
      <c r="H25" s="95" t="s">
        <v>44</v>
      </c>
      <c r="I25" s="83" t="s">
        <v>301</v>
      </c>
    </row>
    <row r="26" spans="2:19" x14ac:dyDescent="0.25">
      <c r="B26" s="111">
        <v>120</v>
      </c>
      <c r="C26" s="112">
        <v>19</v>
      </c>
      <c r="D26" s="112">
        <v>19</v>
      </c>
      <c r="E26" s="112" t="s">
        <v>293</v>
      </c>
      <c r="F26" s="112" t="s">
        <v>293</v>
      </c>
      <c r="H26" s="94" t="s">
        <v>45</v>
      </c>
      <c r="I26" s="84" t="s">
        <v>302</v>
      </c>
      <c r="L26" s="204"/>
      <c r="M26" s="204"/>
      <c r="N26" s="204"/>
      <c r="O26" s="204"/>
      <c r="P26" s="204"/>
      <c r="Q26" s="204"/>
      <c r="R26" s="204"/>
      <c r="S26" s="204"/>
    </row>
    <row r="27" spans="2:19" x14ac:dyDescent="0.25">
      <c r="B27" s="111">
        <v>160</v>
      </c>
      <c r="C27" s="112">
        <v>30.5</v>
      </c>
      <c r="D27" s="112">
        <v>30.5</v>
      </c>
      <c r="E27" s="112" t="s">
        <v>293</v>
      </c>
      <c r="F27" s="112" t="s">
        <v>293</v>
      </c>
      <c r="H27" s="95" t="s">
        <v>46</v>
      </c>
      <c r="I27" s="83" t="s">
        <v>301</v>
      </c>
      <c r="L27" s="204"/>
      <c r="M27" s="204"/>
      <c r="N27" s="204"/>
      <c r="O27" s="204"/>
      <c r="P27" s="204"/>
      <c r="Q27" s="204"/>
      <c r="R27" s="204"/>
      <c r="S27" s="204"/>
    </row>
    <row r="28" spans="2:19" x14ac:dyDescent="0.25">
      <c r="H28" s="94" t="s">
        <v>47</v>
      </c>
      <c r="I28" s="84" t="s">
        <v>164</v>
      </c>
    </row>
    <row r="29" spans="2:19" x14ac:dyDescent="0.25">
      <c r="B29" s="90" t="s">
        <v>310</v>
      </c>
      <c r="C29" s="499" t="s">
        <v>308</v>
      </c>
      <c r="D29" s="500"/>
      <c r="E29" s="500"/>
      <c r="F29" s="501"/>
      <c r="H29" s="94" t="s">
        <v>475</v>
      </c>
      <c r="I29" s="83" t="s">
        <v>301</v>
      </c>
    </row>
    <row r="30" spans="2:19" x14ac:dyDescent="0.25">
      <c r="B30" s="212" t="s">
        <v>2</v>
      </c>
      <c r="C30" s="212">
        <v>60</v>
      </c>
      <c r="D30" s="212">
        <v>80</v>
      </c>
      <c r="E30" s="212">
        <v>100</v>
      </c>
      <c r="F30" s="212">
        <v>120</v>
      </c>
      <c r="H30" s="94" t="s">
        <v>476</v>
      </c>
      <c r="I30" s="83" t="s">
        <v>301</v>
      </c>
    </row>
    <row r="31" spans="2:19" x14ac:dyDescent="0.25">
      <c r="B31" s="104" t="s">
        <v>325</v>
      </c>
      <c r="C31" s="88">
        <v>26</v>
      </c>
      <c r="D31" s="88">
        <v>26</v>
      </c>
      <c r="E31" s="87" t="s">
        <v>293</v>
      </c>
      <c r="F31" s="87" t="s">
        <v>293</v>
      </c>
      <c r="L31" s="204"/>
      <c r="M31" s="204"/>
      <c r="N31" s="204"/>
      <c r="O31" s="204"/>
      <c r="P31" s="204"/>
      <c r="Q31" s="204"/>
      <c r="R31" s="204"/>
      <c r="S31" s="204"/>
    </row>
    <row r="32" spans="2:19" x14ac:dyDescent="0.25">
      <c r="B32" s="104" t="s">
        <v>326</v>
      </c>
      <c r="C32" s="88">
        <v>24</v>
      </c>
      <c r="D32" s="88">
        <v>24</v>
      </c>
      <c r="E32" s="87" t="s">
        <v>293</v>
      </c>
      <c r="F32" s="87" t="s">
        <v>293</v>
      </c>
      <c r="L32" s="204"/>
      <c r="M32" s="204"/>
      <c r="N32" s="204"/>
      <c r="O32" s="204"/>
      <c r="P32" s="204"/>
      <c r="Q32" s="204"/>
      <c r="R32" s="204"/>
      <c r="S32" s="204"/>
    </row>
    <row r="33" spans="2:19" x14ac:dyDescent="0.25">
      <c r="B33" s="104" t="s">
        <v>327</v>
      </c>
      <c r="C33" s="88">
        <v>22</v>
      </c>
      <c r="D33" s="88">
        <v>22</v>
      </c>
      <c r="E33" s="87" t="s">
        <v>293</v>
      </c>
      <c r="F33" s="87" t="s">
        <v>293</v>
      </c>
      <c r="L33" s="204"/>
      <c r="M33" s="204"/>
      <c r="N33" s="204"/>
      <c r="O33" s="204"/>
      <c r="P33" s="204"/>
      <c r="Q33" s="204"/>
      <c r="R33" s="204"/>
      <c r="S33" s="204"/>
    </row>
    <row r="34" spans="2:19" x14ac:dyDescent="0.25">
      <c r="B34" s="104" t="s">
        <v>328</v>
      </c>
      <c r="C34" s="88">
        <v>32</v>
      </c>
      <c r="D34" s="88">
        <v>32</v>
      </c>
      <c r="E34" s="87" t="s">
        <v>293</v>
      </c>
      <c r="F34" s="87" t="s">
        <v>293</v>
      </c>
      <c r="L34" s="204"/>
      <c r="M34" s="204"/>
      <c r="N34" s="204"/>
      <c r="O34" s="204"/>
      <c r="P34" s="204"/>
      <c r="Q34" s="204"/>
      <c r="R34" s="204"/>
      <c r="S34" s="204"/>
    </row>
    <row r="35" spans="2:19" x14ac:dyDescent="0.25">
      <c r="B35" s="104" t="s">
        <v>329</v>
      </c>
      <c r="C35" s="88">
        <v>29.5</v>
      </c>
      <c r="D35" s="88">
        <v>29.5</v>
      </c>
      <c r="E35" s="87" t="s">
        <v>293</v>
      </c>
      <c r="F35" s="87" t="s">
        <v>293</v>
      </c>
      <c r="L35" s="204"/>
      <c r="M35" s="204"/>
      <c r="N35" s="204"/>
      <c r="O35" s="204"/>
      <c r="P35" s="204"/>
      <c r="Q35" s="204"/>
      <c r="R35" s="204"/>
      <c r="S35" s="204"/>
    </row>
    <row r="36" spans="2:19" x14ac:dyDescent="0.25">
      <c r="B36" s="104" t="s">
        <v>330</v>
      </c>
      <c r="C36" s="88">
        <v>27</v>
      </c>
      <c r="D36" s="88">
        <v>27</v>
      </c>
      <c r="E36" s="87" t="s">
        <v>293</v>
      </c>
      <c r="F36" s="87" t="s">
        <v>293</v>
      </c>
      <c r="L36" s="204"/>
      <c r="M36" s="204"/>
      <c r="N36" s="204"/>
      <c r="O36" s="204"/>
      <c r="P36" s="204"/>
      <c r="Q36" s="204"/>
      <c r="R36" s="204"/>
      <c r="S36" s="204"/>
    </row>
    <row r="37" spans="2:19" x14ac:dyDescent="0.25">
      <c r="B37" s="104" t="s">
        <v>331</v>
      </c>
      <c r="C37" s="88">
        <v>38</v>
      </c>
      <c r="D37" s="88">
        <v>38</v>
      </c>
      <c r="E37" s="87" t="s">
        <v>293</v>
      </c>
      <c r="F37" s="87" t="s">
        <v>293</v>
      </c>
      <c r="L37" s="204"/>
      <c r="M37" s="204"/>
      <c r="N37" s="204"/>
      <c r="O37" s="204"/>
      <c r="P37" s="204"/>
      <c r="Q37" s="204"/>
      <c r="R37" s="204"/>
      <c r="S37" s="204"/>
    </row>
    <row r="38" spans="2:19" x14ac:dyDescent="0.25">
      <c r="B38" s="104" t="s">
        <v>332</v>
      </c>
      <c r="C38" s="88">
        <v>36</v>
      </c>
      <c r="D38" s="88">
        <v>36</v>
      </c>
      <c r="E38" s="87" t="s">
        <v>293</v>
      </c>
      <c r="F38" s="87" t="s">
        <v>293</v>
      </c>
      <c r="L38" s="204"/>
      <c r="M38" s="204"/>
      <c r="N38" s="204"/>
      <c r="O38" s="204"/>
      <c r="P38" s="204"/>
      <c r="Q38" s="204"/>
      <c r="R38" s="204"/>
      <c r="S38" s="204"/>
    </row>
    <row r="39" spans="2:19" x14ac:dyDescent="0.25">
      <c r="B39" s="104" t="s">
        <v>333</v>
      </c>
      <c r="C39" s="88">
        <v>32</v>
      </c>
      <c r="D39" s="88">
        <v>32</v>
      </c>
      <c r="E39" s="87" t="s">
        <v>293</v>
      </c>
      <c r="F39" s="87" t="s">
        <v>293</v>
      </c>
      <c r="L39" s="204"/>
      <c r="M39" s="204"/>
      <c r="N39" s="204"/>
      <c r="O39" s="204"/>
      <c r="P39" s="204"/>
      <c r="Q39" s="204"/>
      <c r="R39" s="204"/>
      <c r="S39" s="204"/>
    </row>
    <row r="40" spans="2:19" x14ac:dyDescent="0.25">
      <c r="B40" s="86"/>
      <c r="C40" s="86"/>
      <c r="D40" s="86"/>
      <c r="E40" s="86"/>
      <c r="F40" s="86"/>
    </row>
    <row r="41" spans="2:19" x14ac:dyDescent="0.25">
      <c r="B41" s="90" t="s">
        <v>310</v>
      </c>
      <c r="C41" s="499" t="s">
        <v>309</v>
      </c>
      <c r="D41" s="500"/>
      <c r="E41" s="500"/>
      <c r="F41" s="501"/>
      <c r="H41" s="90" t="s">
        <v>478</v>
      </c>
      <c r="I41" s="499" t="s">
        <v>320</v>
      </c>
      <c r="J41" s="500"/>
      <c r="K41" s="500"/>
      <c r="L41" s="501"/>
    </row>
    <row r="42" spans="2:19" x14ac:dyDescent="0.25">
      <c r="B42" s="212" t="s">
        <v>2</v>
      </c>
      <c r="C42" s="212">
        <v>60</v>
      </c>
      <c r="D42" s="212">
        <v>80</v>
      </c>
      <c r="E42" s="212">
        <v>100</v>
      </c>
      <c r="F42" s="212">
        <v>120</v>
      </c>
      <c r="H42" s="212" t="s">
        <v>2</v>
      </c>
      <c r="I42" s="212">
        <v>60</v>
      </c>
      <c r="J42" s="212">
        <v>80</v>
      </c>
      <c r="K42" s="212">
        <v>100</v>
      </c>
      <c r="L42" s="212">
        <v>120</v>
      </c>
    </row>
    <row r="43" spans="2:19" x14ac:dyDescent="0.25">
      <c r="B43" s="104">
        <v>100</v>
      </c>
      <c r="C43" s="103">
        <v>17.89</v>
      </c>
      <c r="D43" s="103">
        <v>17.89</v>
      </c>
      <c r="E43" s="103">
        <v>14.98</v>
      </c>
      <c r="F43" s="103">
        <v>14.98</v>
      </c>
      <c r="H43" s="104">
        <v>100</v>
      </c>
      <c r="I43" s="208">
        <v>22.059861390449925</v>
      </c>
      <c r="J43" s="208">
        <v>22.059861390449925</v>
      </c>
      <c r="K43" s="208">
        <v>24.129778671078309</v>
      </c>
      <c r="L43" s="208">
        <v>24.129778671078309</v>
      </c>
      <c r="M43" s="204"/>
      <c r="N43" s="204"/>
      <c r="O43" s="204"/>
      <c r="P43" s="204"/>
      <c r="Q43" s="204"/>
      <c r="R43" s="204"/>
      <c r="S43" s="205"/>
    </row>
    <row r="44" spans="2:19" x14ac:dyDescent="0.25">
      <c r="B44" s="104">
        <v>120</v>
      </c>
      <c r="C44" s="103">
        <v>19.899999999999999</v>
      </c>
      <c r="D44" s="103">
        <v>19.899999999999999</v>
      </c>
      <c r="E44" s="103">
        <v>16.649999999999999</v>
      </c>
      <c r="F44" s="103">
        <v>16.649999999999999</v>
      </c>
      <c r="H44" s="104">
        <v>120</v>
      </c>
      <c r="I44" s="208">
        <v>20.261926040792915</v>
      </c>
      <c r="J44" s="208">
        <v>20.261926040792915</v>
      </c>
      <c r="K44" s="208">
        <v>23.007312158840787</v>
      </c>
      <c r="L44" s="208">
        <v>23.007312158840787</v>
      </c>
      <c r="M44" s="204"/>
      <c r="N44" s="204"/>
      <c r="O44" s="204"/>
      <c r="P44" s="204"/>
      <c r="Q44" s="204"/>
      <c r="R44" s="204"/>
      <c r="S44" s="205"/>
    </row>
    <row r="45" spans="2:19" x14ac:dyDescent="0.25">
      <c r="B45" s="104">
        <v>140</v>
      </c>
      <c r="C45" s="103">
        <v>21.52</v>
      </c>
      <c r="D45" s="103">
        <v>21.52</v>
      </c>
      <c r="E45" s="103">
        <v>19.100000000000001</v>
      </c>
      <c r="F45" s="103">
        <v>19.100000000000001</v>
      </c>
      <c r="H45" s="104">
        <v>140</v>
      </c>
      <c r="I45" s="208">
        <v>18.536934753810772</v>
      </c>
      <c r="J45" s="208">
        <v>18.536934753810772</v>
      </c>
      <c r="K45" s="208">
        <v>21.014296300043597</v>
      </c>
      <c r="L45" s="208">
        <v>21.014296300043597</v>
      </c>
      <c r="M45" s="204"/>
      <c r="N45" s="204"/>
      <c r="O45" s="204"/>
      <c r="P45" s="204"/>
      <c r="Q45" s="204"/>
      <c r="R45" s="204"/>
      <c r="S45" s="205"/>
    </row>
    <row r="46" spans="2:19" x14ac:dyDescent="0.25">
      <c r="B46" s="104">
        <v>160</v>
      </c>
      <c r="C46" s="103">
        <v>22.76</v>
      </c>
      <c r="D46" s="103">
        <v>22.76</v>
      </c>
      <c r="E46" s="103">
        <v>19.88</v>
      </c>
      <c r="F46" s="103">
        <v>19.88</v>
      </c>
      <c r="H46" s="104">
        <v>160</v>
      </c>
      <c r="I46" s="208">
        <v>16.991412759761634</v>
      </c>
      <c r="J46" s="208">
        <v>16.991412759761634</v>
      </c>
      <c r="K46" s="208">
        <v>20.279666909684909</v>
      </c>
      <c r="L46" s="208">
        <v>20.279666909684909</v>
      </c>
      <c r="M46" s="204"/>
      <c r="N46" s="204"/>
      <c r="O46" s="204"/>
      <c r="P46" s="204"/>
      <c r="Q46" s="204"/>
      <c r="R46" s="204"/>
      <c r="S46" s="205"/>
    </row>
    <row r="47" spans="2:19" x14ac:dyDescent="0.25">
      <c r="B47" s="104">
        <v>180</v>
      </c>
      <c r="C47" s="103">
        <v>23.72</v>
      </c>
      <c r="D47" s="103">
        <v>23.72</v>
      </c>
      <c r="E47" s="103">
        <v>21.17</v>
      </c>
      <c r="F47" s="103">
        <v>21.17</v>
      </c>
      <c r="H47" s="104">
        <v>180</v>
      </c>
      <c r="I47" s="208">
        <v>15.624477153127581</v>
      </c>
      <c r="J47" s="208">
        <v>15.624477153127581</v>
      </c>
      <c r="K47" s="208">
        <v>18.929690630247901</v>
      </c>
      <c r="L47" s="208">
        <v>18.929690630247901</v>
      </c>
      <c r="M47" s="204"/>
      <c r="N47" s="204"/>
      <c r="O47" s="204"/>
      <c r="P47" s="204"/>
      <c r="Q47" s="204"/>
      <c r="R47" s="204"/>
      <c r="S47" s="205"/>
    </row>
    <row r="48" spans="2:19" x14ac:dyDescent="0.25">
      <c r="B48" s="104">
        <v>200</v>
      </c>
      <c r="C48" s="103">
        <v>24.41</v>
      </c>
      <c r="D48" s="103">
        <v>24.41</v>
      </c>
      <c r="E48" s="103">
        <v>22.18</v>
      </c>
      <c r="F48" s="103">
        <v>22.18</v>
      </c>
      <c r="H48" s="104">
        <v>200</v>
      </c>
      <c r="I48" s="208">
        <v>14.51710508436779</v>
      </c>
      <c r="J48" s="208">
        <v>14.51710508436779</v>
      </c>
      <c r="K48" s="208">
        <v>17.741337844063388</v>
      </c>
      <c r="L48" s="208">
        <v>17.741337844063388</v>
      </c>
      <c r="M48" s="204"/>
      <c r="N48" s="204"/>
      <c r="O48" s="204"/>
      <c r="P48" s="204"/>
      <c r="Q48" s="204"/>
      <c r="R48" s="204"/>
      <c r="S48" s="205"/>
    </row>
    <row r="49" spans="2:19" x14ac:dyDescent="0.25">
      <c r="B49" s="104">
        <v>220</v>
      </c>
      <c r="C49" s="103">
        <v>25.06</v>
      </c>
      <c r="D49" s="103">
        <v>25.06</v>
      </c>
      <c r="E49" s="103">
        <v>23.01</v>
      </c>
      <c r="F49" s="103">
        <v>23.01</v>
      </c>
      <c r="H49" s="104">
        <v>220</v>
      </c>
      <c r="I49" s="208">
        <v>13.364704747506696</v>
      </c>
      <c r="J49" s="208">
        <v>13.364704747506696</v>
      </c>
      <c r="K49" s="208">
        <v>16.651920528392854</v>
      </c>
      <c r="L49" s="208">
        <v>16.651920528392854</v>
      </c>
      <c r="M49" s="204"/>
      <c r="N49" s="204"/>
      <c r="O49" s="204"/>
      <c r="P49" s="204"/>
      <c r="Q49" s="204"/>
      <c r="R49" s="204"/>
      <c r="S49" s="205"/>
    </row>
    <row r="50" spans="2:19" x14ac:dyDescent="0.25">
      <c r="B50" s="104">
        <v>240</v>
      </c>
      <c r="C50" s="103">
        <v>25.53</v>
      </c>
      <c r="D50" s="103">
        <v>25.53</v>
      </c>
      <c r="E50" s="103">
        <v>23.65</v>
      </c>
      <c r="F50" s="103">
        <v>23.65</v>
      </c>
      <c r="H50" s="104">
        <v>240</v>
      </c>
      <c r="I50" s="208">
        <v>12.433729297980269</v>
      </c>
      <c r="J50" s="208">
        <v>12.433729297980269</v>
      </c>
      <c r="K50" s="208">
        <v>15.729751180077969</v>
      </c>
      <c r="L50" s="208">
        <v>15.729751180077969</v>
      </c>
      <c r="M50" s="204"/>
      <c r="N50" s="204"/>
      <c r="O50" s="204"/>
      <c r="P50" s="204"/>
      <c r="Q50" s="204"/>
      <c r="R50" s="204"/>
      <c r="S50" s="205"/>
    </row>
    <row r="51" spans="2:19" x14ac:dyDescent="0.25">
      <c r="B51" s="109"/>
      <c r="C51" s="109"/>
      <c r="D51" s="109"/>
      <c r="E51" s="109"/>
      <c r="F51" s="109"/>
      <c r="G51" s="109"/>
      <c r="H51" s="109"/>
      <c r="I51" s="109"/>
      <c r="J51" s="109"/>
      <c r="K51" s="109"/>
      <c r="L51" s="109"/>
      <c r="M51" s="109"/>
    </row>
    <row r="53" spans="2:19" x14ac:dyDescent="0.25">
      <c r="B53" s="90" t="s">
        <v>313</v>
      </c>
      <c r="C53" s="499" t="s">
        <v>315</v>
      </c>
      <c r="D53" s="500"/>
      <c r="E53" s="500"/>
      <c r="F53" s="500"/>
      <c r="G53" s="500"/>
      <c r="H53" s="500"/>
      <c r="I53" s="500"/>
      <c r="J53" s="501"/>
      <c r="L53" s="90" t="s">
        <v>303</v>
      </c>
      <c r="M53" s="213" t="s">
        <v>299</v>
      </c>
    </row>
    <row r="54" spans="2:19" x14ac:dyDescent="0.25">
      <c r="B54" s="212" t="s">
        <v>0</v>
      </c>
      <c r="C54" s="116" t="s">
        <v>340</v>
      </c>
      <c r="D54" s="116" t="s">
        <v>341</v>
      </c>
      <c r="E54" s="116" t="s">
        <v>342</v>
      </c>
      <c r="F54" s="116" t="s">
        <v>343</v>
      </c>
      <c r="G54" s="116" t="s">
        <v>344</v>
      </c>
      <c r="H54" s="116" t="s">
        <v>345</v>
      </c>
      <c r="I54" s="116" t="s">
        <v>346</v>
      </c>
      <c r="J54" s="116" t="s">
        <v>347</v>
      </c>
      <c r="L54" s="92">
        <v>1</v>
      </c>
      <c r="M54" s="93">
        <v>2</v>
      </c>
    </row>
    <row r="55" spans="2:19" x14ac:dyDescent="0.25">
      <c r="B55" s="104" t="s">
        <v>66</v>
      </c>
      <c r="C55" s="103">
        <v>3.06</v>
      </c>
      <c r="D55" s="103">
        <v>3.06</v>
      </c>
      <c r="E55" s="103">
        <v>3.06</v>
      </c>
      <c r="F55" s="103">
        <v>3.06</v>
      </c>
      <c r="G55" s="103">
        <v>5.83</v>
      </c>
      <c r="H55" s="103">
        <v>5.83</v>
      </c>
      <c r="I55" s="103">
        <v>5.83</v>
      </c>
      <c r="J55" s="103">
        <v>5.83</v>
      </c>
      <c r="L55" s="94" t="s">
        <v>33</v>
      </c>
      <c r="M55" s="84" t="s">
        <v>293</v>
      </c>
      <c r="P55" s="204"/>
      <c r="Q55" s="204"/>
      <c r="R55" s="204"/>
      <c r="S55" s="204"/>
    </row>
    <row r="56" spans="2:19" x14ac:dyDescent="0.25">
      <c r="B56" s="104" t="s">
        <v>67</v>
      </c>
      <c r="C56" s="103">
        <v>3.95</v>
      </c>
      <c r="D56" s="103">
        <v>3.95</v>
      </c>
      <c r="E56" s="103">
        <v>3.95</v>
      </c>
      <c r="F56" s="103">
        <v>3.95</v>
      </c>
      <c r="G56" s="103">
        <v>7.57</v>
      </c>
      <c r="H56" s="103">
        <v>7.57</v>
      </c>
      <c r="I56" s="103">
        <v>7.57</v>
      </c>
      <c r="J56" s="103">
        <v>7.57</v>
      </c>
      <c r="L56" s="95" t="s">
        <v>34</v>
      </c>
      <c r="M56" s="83" t="s">
        <v>293</v>
      </c>
      <c r="P56" s="204"/>
      <c r="Q56" s="204"/>
      <c r="R56" s="204"/>
      <c r="S56" s="204"/>
    </row>
    <row r="57" spans="2:19" x14ac:dyDescent="0.25">
      <c r="B57" s="104" t="s">
        <v>68</v>
      </c>
      <c r="C57" s="103">
        <v>4.84</v>
      </c>
      <c r="D57" s="103">
        <v>4.84</v>
      </c>
      <c r="E57" s="103">
        <v>4.84</v>
      </c>
      <c r="F57" s="103">
        <v>4.84</v>
      </c>
      <c r="G57" s="103">
        <v>9.31</v>
      </c>
      <c r="H57" s="103">
        <v>9.31</v>
      </c>
      <c r="I57" s="103">
        <v>9.31</v>
      </c>
      <c r="J57" s="103">
        <v>9.31</v>
      </c>
      <c r="L57" s="94" t="s">
        <v>35</v>
      </c>
      <c r="M57" s="84" t="s">
        <v>301</v>
      </c>
      <c r="P57" s="204"/>
      <c r="Q57" s="204"/>
      <c r="R57" s="204"/>
      <c r="S57" s="204"/>
    </row>
    <row r="58" spans="2:19" x14ac:dyDescent="0.25">
      <c r="B58" s="104" t="s">
        <v>69</v>
      </c>
      <c r="C58" s="103">
        <v>5.73</v>
      </c>
      <c r="D58" s="103">
        <v>5.73</v>
      </c>
      <c r="E58" s="103">
        <v>5.73</v>
      </c>
      <c r="F58" s="103">
        <v>5.73</v>
      </c>
      <c r="G58" s="103">
        <v>11.05</v>
      </c>
      <c r="H58" s="103">
        <v>11.05</v>
      </c>
      <c r="I58" s="103">
        <v>11.05</v>
      </c>
      <c r="J58" s="103">
        <v>11.05</v>
      </c>
      <c r="L58" s="95" t="s">
        <v>36</v>
      </c>
      <c r="M58" s="83" t="s">
        <v>293</v>
      </c>
      <c r="P58" s="204"/>
      <c r="Q58" s="204"/>
      <c r="R58" s="204"/>
      <c r="S58" s="204"/>
    </row>
    <row r="59" spans="2:19" x14ac:dyDescent="0.25">
      <c r="B59" s="104" t="s">
        <v>70</v>
      </c>
      <c r="C59" s="103">
        <v>6.61</v>
      </c>
      <c r="D59" s="103">
        <v>6.61</v>
      </c>
      <c r="E59" s="103">
        <v>6.61</v>
      </c>
      <c r="F59" s="103">
        <v>6.61</v>
      </c>
      <c r="G59" s="103">
        <v>12.79</v>
      </c>
      <c r="H59" s="103">
        <v>12.79</v>
      </c>
      <c r="I59" s="103">
        <v>12.79</v>
      </c>
      <c r="J59" s="103">
        <v>12.79</v>
      </c>
      <c r="L59" s="94" t="s">
        <v>37</v>
      </c>
      <c r="M59" s="84" t="s">
        <v>293</v>
      </c>
      <c r="P59" s="204"/>
      <c r="Q59" s="204"/>
      <c r="R59" s="204"/>
      <c r="S59" s="204"/>
    </row>
    <row r="60" spans="2:19" x14ac:dyDescent="0.25">
      <c r="B60" s="104" t="s">
        <v>71</v>
      </c>
      <c r="C60" s="103">
        <v>7.5</v>
      </c>
      <c r="D60" s="103">
        <v>7.5</v>
      </c>
      <c r="E60" s="103">
        <v>7.5</v>
      </c>
      <c r="F60" s="103">
        <v>7.5</v>
      </c>
      <c r="G60" s="103">
        <v>14.53</v>
      </c>
      <c r="H60" s="103">
        <v>14.53</v>
      </c>
      <c r="I60" s="103">
        <v>14.53</v>
      </c>
      <c r="J60" s="103">
        <v>14.53</v>
      </c>
      <c r="L60" s="95" t="s">
        <v>38</v>
      </c>
      <c r="M60" s="83" t="s">
        <v>164</v>
      </c>
      <c r="P60" s="204"/>
      <c r="Q60" s="204"/>
      <c r="R60" s="204"/>
      <c r="S60" s="204"/>
    </row>
    <row r="61" spans="2:19" x14ac:dyDescent="0.25">
      <c r="B61" s="104" t="s">
        <v>72</v>
      </c>
      <c r="C61" s="103">
        <v>8.39</v>
      </c>
      <c r="D61" s="103">
        <v>8.39</v>
      </c>
      <c r="E61" s="103">
        <v>8.39</v>
      </c>
      <c r="F61" s="103">
        <v>8.39</v>
      </c>
      <c r="G61" s="103">
        <v>16.27</v>
      </c>
      <c r="H61" s="103">
        <v>16.27</v>
      </c>
      <c r="I61" s="103">
        <v>16.27</v>
      </c>
      <c r="J61" s="103">
        <v>16.27</v>
      </c>
      <c r="L61" s="94" t="s">
        <v>39</v>
      </c>
      <c r="M61" s="83" t="s">
        <v>164</v>
      </c>
      <c r="P61" s="204"/>
      <c r="Q61" s="204"/>
      <c r="R61" s="204"/>
      <c r="S61" s="204"/>
    </row>
    <row r="62" spans="2:19" x14ac:dyDescent="0.25">
      <c r="B62" s="104" t="s">
        <v>73</v>
      </c>
      <c r="C62" s="103">
        <v>9.2799999999999994</v>
      </c>
      <c r="D62" s="103">
        <v>9.2799999999999994</v>
      </c>
      <c r="E62" s="103">
        <v>9.2799999999999994</v>
      </c>
      <c r="F62" s="103">
        <v>9.2799999999999994</v>
      </c>
      <c r="G62" s="103">
        <v>18.010000000000002</v>
      </c>
      <c r="H62" s="103">
        <v>18.010000000000002</v>
      </c>
      <c r="I62" s="103">
        <v>18.010000000000002</v>
      </c>
      <c r="J62" s="103">
        <v>18.010000000000002</v>
      </c>
      <c r="L62" s="95" t="s">
        <v>40</v>
      </c>
      <c r="M62" s="83" t="s">
        <v>301</v>
      </c>
      <c r="P62" s="204"/>
      <c r="Q62" s="204"/>
      <c r="R62" s="204"/>
      <c r="S62" s="204"/>
    </row>
    <row r="63" spans="2:19" x14ac:dyDescent="0.25">
      <c r="B63" s="104" t="s">
        <v>74</v>
      </c>
      <c r="C63" s="103">
        <v>10.17</v>
      </c>
      <c r="D63" s="103">
        <v>10.17</v>
      </c>
      <c r="E63" s="103">
        <v>10.17</v>
      </c>
      <c r="F63" s="103">
        <v>10.17</v>
      </c>
      <c r="G63" s="103">
        <v>19.75</v>
      </c>
      <c r="H63" s="103">
        <v>19.75</v>
      </c>
      <c r="I63" s="103">
        <v>19.75</v>
      </c>
      <c r="J63" s="103">
        <v>19.75</v>
      </c>
      <c r="L63" s="94" t="s">
        <v>41</v>
      </c>
      <c r="M63" s="83" t="s">
        <v>164</v>
      </c>
      <c r="P63" s="204"/>
      <c r="Q63" s="204"/>
      <c r="R63" s="204"/>
      <c r="S63" s="204"/>
    </row>
    <row r="64" spans="2:19" x14ac:dyDescent="0.25">
      <c r="L64" s="95" t="s">
        <v>42</v>
      </c>
      <c r="M64" s="83" t="s">
        <v>301</v>
      </c>
    </row>
    <row r="65" spans="2:13" x14ac:dyDescent="0.25">
      <c r="B65" s="90" t="s">
        <v>313</v>
      </c>
      <c r="C65" s="498" t="s">
        <v>316</v>
      </c>
      <c r="D65" s="498"/>
      <c r="E65" s="498"/>
      <c r="F65" s="498"/>
      <c r="G65" s="498"/>
      <c r="H65" s="498"/>
      <c r="I65" s="498"/>
      <c r="J65" s="498"/>
      <c r="L65" s="94" t="s">
        <v>43</v>
      </c>
      <c r="M65" s="84" t="s">
        <v>301</v>
      </c>
    </row>
    <row r="66" spans="2:13" x14ac:dyDescent="0.25">
      <c r="B66" s="212" t="s">
        <v>0</v>
      </c>
      <c r="C66" s="116" t="s">
        <v>340</v>
      </c>
      <c r="D66" s="116" t="s">
        <v>341</v>
      </c>
      <c r="E66" s="116" t="s">
        <v>342</v>
      </c>
      <c r="F66" s="116" t="s">
        <v>343</v>
      </c>
      <c r="G66" s="116" t="s">
        <v>344</v>
      </c>
      <c r="H66" s="116" t="s">
        <v>345</v>
      </c>
      <c r="I66" s="116" t="s">
        <v>346</v>
      </c>
      <c r="J66" s="116" t="s">
        <v>347</v>
      </c>
      <c r="L66" s="95" t="s">
        <v>44</v>
      </c>
      <c r="M66" s="83" t="s">
        <v>301</v>
      </c>
    </row>
    <row r="67" spans="2:13" x14ac:dyDescent="0.25">
      <c r="B67" s="104" t="s">
        <v>67</v>
      </c>
      <c r="C67" s="103">
        <v>3.29</v>
      </c>
      <c r="D67" s="103">
        <v>3.29</v>
      </c>
      <c r="E67" s="103">
        <v>3.29</v>
      </c>
      <c r="F67" s="103">
        <v>3.29</v>
      </c>
      <c r="G67" s="103">
        <v>6.26</v>
      </c>
      <c r="H67" s="103">
        <v>6.26</v>
      </c>
      <c r="I67" s="103">
        <v>6.26</v>
      </c>
      <c r="J67" s="103">
        <v>6.26</v>
      </c>
      <c r="L67" s="94" t="s">
        <v>45</v>
      </c>
      <c r="M67" s="84" t="s">
        <v>293</v>
      </c>
    </row>
    <row r="68" spans="2:13" x14ac:dyDescent="0.25">
      <c r="B68" s="104" t="s">
        <v>68</v>
      </c>
      <c r="C68" s="103">
        <v>4.17</v>
      </c>
      <c r="D68" s="103">
        <v>4.17</v>
      </c>
      <c r="E68" s="103">
        <v>4.17</v>
      </c>
      <c r="F68" s="103">
        <v>4.17</v>
      </c>
      <c r="G68" s="103">
        <v>8</v>
      </c>
      <c r="H68" s="103">
        <v>8</v>
      </c>
      <c r="I68" s="103">
        <v>8</v>
      </c>
      <c r="J68" s="103">
        <v>8</v>
      </c>
      <c r="L68" s="95" t="s">
        <v>46</v>
      </c>
      <c r="M68" s="83" t="s">
        <v>301</v>
      </c>
    </row>
    <row r="69" spans="2:13" x14ac:dyDescent="0.25">
      <c r="B69" s="104" t="s">
        <v>69</v>
      </c>
      <c r="C69" s="103">
        <v>5.0599999999999996</v>
      </c>
      <c r="D69" s="103">
        <v>5.0599999999999996</v>
      </c>
      <c r="E69" s="103">
        <v>5.0599999999999996</v>
      </c>
      <c r="F69" s="103">
        <v>5.0599999999999996</v>
      </c>
      <c r="G69" s="103">
        <v>9.74</v>
      </c>
      <c r="H69" s="103">
        <v>9.74</v>
      </c>
      <c r="I69" s="103">
        <v>9.74</v>
      </c>
      <c r="J69" s="103">
        <v>9.74</v>
      </c>
      <c r="L69" s="94" t="s">
        <v>47</v>
      </c>
      <c r="M69" s="83" t="s">
        <v>164</v>
      </c>
    </row>
    <row r="70" spans="2:13" x14ac:dyDescent="0.25">
      <c r="B70" s="104" t="s">
        <v>70</v>
      </c>
      <c r="C70" s="103">
        <v>5.95</v>
      </c>
      <c r="D70" s="103">
        <v>5.95</v>
      </c>
      <c r="E70" s="103">
        <v>5.95</v>
      </c>
      <c r="F70" s="103">
        <v>5.95</v>
      </c>
      <c r="G70" s="103">
        <v>11.49</v>
      </c>
      <c r="H70" s="103">
        <v>11.49</v>
      </c>
      <c r="I70" s="103">
        <v>11.49</v>
      </c>
      <c r="J70" s="103">
        <v>11.49</v>
      </c>
      <c r="L70" s="94" t="s">
        <v>475</v>
      </c>
      <c r="M70" s="83" t="s">
        <v>164</v>
      </c>
    </row>
    <row r="71" spans="2:13" x14ac:dyDescent="0.25">
      <c r="B71" s="104" t="s">
        <v>71</v>
      </c>
      <c r="C71" s="103">
        <v>6.84</v>
      </c>
      <c r="D71" s="103">
        <v>6.84</v>
      </c>
      <c r="E71" s="103">
        <v>6.84</v>
      </c>
      <c r="F71" s="103">
        <v>6.84</v>
      </c>
      <c r="G71" s="103">
        <v>13.23</v>
      </c>
      <c r="H71" s="103">
        <v>13.23</v>
      </c>
      <c r="I71" s="103">
        <v>13.23</v>
      </c>
      <c r="J71" s="103">
        <v>13.23</v>
      </c>
      <c r="L71" s="94" t="s">
        <v>476</v>
      </c>
      <c r="M71" s="83" t="s">
        <v>293</v>
      </c>
    </row>
    <row r="72" spans="2:13" x14ac:dyDescent="0.25">
      <c r="B72" s="104" t="s">
        <v>72</v>
      </c>
      <c r="C72" s="103">
        <v>7.72</v>
      </c>
      <c r="D72" s="103">
        <v>7.72</v>
      </c>
      <c r="E72" s="103">
        <v>7.72</v>
      </c>
      <c r="F72" s="103">
        <v>7.72</v>
      </c>
      <c r="G72" s="103">
        <v>14.97</v>
      </c>
      <c r="H72" s="103">
        <v>14.97</v>
      </c>
      <c r="I72" s="103">
        <v>14.97</v>
      </c>
      <c r="J72" s="103">
        <v>14.97</v>
      </c>
    </row>
    <row r="73" spans="2:13" x14ac:dyDescent="0.25">
      <c r="B73" s="104" t="s">
        <v>73</v>
      </c>
      <c r="C73" s="103">
        <v>8.61</v>
      </c>
      <c r="D73" s="103">
        <v>8.61</v>
      </c>
      <c r="E73" s="103">
        <v>8.61</v>
      </c>
      <c r="F73" s="103">
        <v>8.61</v>
      </c>
      <c r="G73" s="103">
        <v>16.71</v>
      </c>
      <c r="H73" s="103">
        <v>16.71</v>
      </c>
      <c r="I73" s="103">
        <v>16.71</v>
      </c>
      <c r="J73" s="103">
        <v>16.71</v>
      </c>
    </row>
    <row r="74" spans="2:13" x14ac:dyDescent="0.25">
      <c r="B74" s="104" t="s">
        <v>74</v>
      </c>
      <c r="C74" s="103">
        <v>9.5</v>
      </c>
      <c r="D74" s="103">
        <v>9.5</v>
      </c>
      <c r="E74" s="103">
        <v>9.5</v>
      </c>
      <c r="F74" s="103">
        <v>9.5</v>
      </c>
      <c r="G74" s="103">
        <v>18.45</v>
      </c>
      <c r="H74" s="103">
        <v>18.45</v>
      </c>
      <c r="I74" s="103">
        <v>18.45</v>
      </c>
      <c r="J74" s="103">
        <v>18.45</v>
      </c>
    </row>
    <row r="76" spans="2:13" x14ac:dyDescent="0.25">
      <c r="B76" s="90" t="s">
        <v>313</v>
      </c>
      <c r="C76" s="498" t="s">
        <v>318</v>
      </c>
      <c r="D76" s="498"/>
      <c r="E76" s="498"/>
      <c r="F76" s="498"/>
      <c r="G76" s="498"/>
      <c r="H76" s="498"/>
      <c r="I76" s="498"/>
      <c r="J76" s="498"/>
    </row>
    <row r="77" spans="2:13" x14ac:dyDescent="0.25">
      <c r="B77" s="212" t="s">
        <v>0</v>
      </c>
      <c r="C77" s="116" t="s">
        <v>340</v>
      </c>
      <c r="D77" s="116" t="s">
        <v>341</v>
      </c>
      <c r="E77" s="116" t="s">
        <v>342</v>
      </c>
      <c r="F77" s="116" t="s">
        <v>343</v>
      </c>
      <c r="G77" s="116" t="s">
        <v>344</v>
      </c>
      <c r="H77" s="116" t="s">
        <v>345</v>
      </c>
      <c r="I77" s="116" t="s">
        <v>346</v>
      </c>
      <c r="J77" s="116" t="s">
        <v>347</v>
      </c>
    </row>
    <row r="78" spans="2:13" x14ac:dyDescent="0.25">
      <c r="B78" s="104" t="s">
        <v>66</v>
      </c>
      <c r="C78" s="103">
        <v>2.36</v>
      </c>
      <c r="D78" s="103">
        <v>2.36</v>
      </c>
      <c r="E78" s="103">
        <v>2.36</v>
      </c>
      <c r="F78" s="103">
        <v>2.36</v>
      </c>
      <c r="G78" s="103">
        <v>4.49</v>
      </c>
      <c r="H78" s="103">
        <v>4.49</v>
      </c>
      <c r="I78" s="103">
        <v>4.49</v>
      </c>
      <c r="J78" s="103">
        <v>4.49</v>
      </c>
    </row>
    <row r="79" spans="2:13" x14ac:dyDescent="0.25">
      <c r="B79" s="104" t="s">
        <v>67</v>
      </c>
      <c r="C79" s="103">
        <v>3.04</v>
      </c>
      <c r="D79" s="103">
        <v>3.04</v>
      </c>
      <c r="E79" s="103">
        <v>3.04</v>
      </c>
      <c r="F79" s="103">
        <v>3.04</v>
      </c>
      <c r="G79" s="103">
        <v>5.83</v>
      </c>
      <c r="H79" s="103">
        <v>5.83</v>
      </c>
      <c r="I79" s="103">
        <v>5.83</v>
      </c>
      <c r="J79" s="103">
        <v>5.83</v>
      </c>
    </row>
    <row r="80" spans="2:13" x14ac:dyDescent="0.25">
      <c r="B80" s="104" t="s">
        <v>68</v>
      </c>
      <c r="C80" s="103">
        <v>3.72</v>
      </c>
      <c r="D80" s="103">
        <v>3.72</v>
      </c>
      <c r="E80" s="103">
        <v>3.72</v>
      </c>
      <c r="F80" s="103">
        <v>3.72</v>
      </c>
      <c r="G80" s="103">
        <v>7.17</v>
      </c>
      <c r="H80" s="103">
        <v>7.17</v>
      </c>
      <c r="I80" s="103">
        <v>7.17</v>
      </c>
      <c r="J80" s="103">
        <v>7.17</v>
      </c>
    </row>
    <row r="81" spans="2:10" x14ac:dyDescent="0.25">
      <c r="B81" s="104" t="s">
        <v>69</v>
      </c>
      <c r="C81" s="103">
        <v>4.41</v>
      </c>
      <c r="D81" s="103">
        <v>4.41</v>
      </c>
      <c r="E81" s="103">
        <v>4.41</v>
      </c>
      <c r="F81" s="103">
        <v>4.41</v>
      </c>
      <c r="G81" s="103">
        <v>8.5</v>
      </c>
      <c r="H81" s="103">
        <v>8.5</v>
      </c>
      <c r="I81" s="103">
        <v>8.5</v>
      </c>
      <c r="J81" s="103">
        <v>8.5</v>
      </c>
    </row>
    <row r="82" spans="2:10" x14ac:dyDescent="0.25">
      <c r="B82" s="104" t="s">
        <v>70</v>
      </c>
      <c r="C82" s="103">
        <v>5.09</v>
      </c>
      <c r="D82" s="103">
        <v>5.09</v>
      </c>
      <c r="E82" s="103">
        <v>5.09</v>
      </c>
      <c r="F82" s="103">
        <v>5.09</v>
      </c>
      <c r="G82" s="103">
        <v>9.84</v>
      </c>
      <c r="H82" s="103">
        <v>9.84</v>
      </c>
      <c r="I82" s="103">
        <v>9.84</v>
      </c>
      <c r="J82" s="103">
        <v>9.84</v>
      </c>
    </row>
    <row r="83" spans="2:10" x14ac:dyDescent="0.25">
      <c r="B83" s="104" t="s">
        <v>71</v>
      </c>
      <c r="C83" s="103">
        <v>5.77</v>
      </c>
      <c r="D83" s="103">
        <v>5.77</v>
      </c>
      <c r="E83" s="103">
        <v>5.77</v>
      </c>
      <c r="F83" s="103">
        <v>5.77</v>
      </c>
      <c r="G83" s="103">
        <v>11.18</v>
      </c>
      <c r="H83" s="103">
        <v>11.18</v>
      </c>
      <c r="I83" s="103">
        <v>11.18</v>
      </c>
      <c r="J83" s="103">
        <v>11.18</v>
      </c>
    </row>
    <row r="84" spans="2:10" x14ac:dyDescent="0.25">
      <c r="B84" s="104" t="s">
        <v>72</v>
      </c>
      <c r="C84" s="103">
        <v>6.46</v>
      </c>
      <c r="D84" s="103">
        <v>6.46</v>
      </c>
      <c r="E84" s="103">
        <v>6.46</v>
      </c>
      <c r="F84" s="103">
        <v>6.46</v>
      </c>
      <c r="G84" s="103">
        <v>12.52</v>
      </c>
      <c r="H84" s="103">
        <v>12.52</v>
      </c>
      <c r="I84" s="103">
        <v>12.52</v>
      </c>
      <c r="J84" s="103">
        <v>12.52</v>
      </c>
    </row>
    <row r="85" spans="2:10" x14ac:dyDescent="0.25">
      <c r="B85" s="104" t="s">
        <v>73</v>
      </c>
      <c r="C85" s="103">
        <v>7.14</v>
      </c>
      <c r="D85" s="103">
        <v>7.14</v>
      </c>
      <c r="E85" s="103">
        <v>7.14</v>
      </c>
      <c r="F85" s="103">
        <v>7.14</v>
      </c>
      <c r="G85" s="103">
        <v>13.86</v>
      </c>
      <c r="H85" s="103">
        <v>13.86</v>
      </c>
      <c r="I85" s="103">
        <v>13.86</v>
      </c>
      <c r="J85" s="103">
        <v>13.86</v>
      </c>
    </row>
    <row r="86" spans="2:10" x14ac:dyDescent="0.25">
      <c r="B86" s="104" t="s">
        <v>74</v>
      </c>
      <c r="C86" s="103">
        <v>7.82</v>
      </c>
      <c r="D86" s="103">
        <v>7.82</v>
      </c>
      <c r="E86" s="103">
        <v>7.82</v>
      </c>
      <c r="F86" s="103">
        <v>7.82</v>
      </c>
      <c r="G86" s="103">
        <v>15.2</v>
      </c>
      <c r="H86" s="103">
        <v>15.2</v>
      </c>
      <c r="I86" s="103">
        <v>15.2</v>
      </c>
      <c r="J86" s="103">
        <v>15.2</v>
      </c>
    </row>
    <row r="87" spans="2:10" x14ac:dyDescent="0.25">
      <c r="B87" s="105"/>
      <c r="C87" s="85"/>
      <c r="D87" s="85"/>
      <c r="E87" s="11"/>
      <c r="F87" s="11"/>
    </row>
    <row r="88" spans="2:10" x14ac:dyDescent="0.25">
      <c r="B88" s="90" t="s">
        <v>313</v>
      </c>
      <c r="C88" s="498" t="s">
        <v>317</v>
      </c>
      <c r="D88" s="498"/>
      <c r="E88" s="498"/>
      <c r="F88" s="498"/>
      <c r="G88" s="498"/>
      <c r="H88" s="498"/>
      <c r="I88" s="498"/>
      <c r="J88" s="498"/>
    </row>
    <row r="89" spans="2:10" x14ac:dyDescent="0.25">
      <c r="B89" s="212" t="s">
        <v>0</v>
      </c>
      <c r="C89" s="116" t="s">
        <v>340</v>
      </c>
      <c r="D89" s="116" t="s">
        <v>341</v>
      </c>
      <c r="E89" s="116" t="s">
        <v>342</v>
      </c>
      <c r="F89" s="116" t="s">
        <v>343</v>
      </c>
      <c r="G89" s="116" t="s">
        <v>344</v>
      </c>
      <c r="H89" s="116" t="s">
        <v>345</v>
      </c>
      <c r="I89" s="116" t="s">
        <v>346</v>
      </c>
      <c r="J89" s="116" t="s">
        <v>347</v>
      </c>
    </row>
    <row r="90" spans="2:10" x14ac:dyDescent="0.25">
      <c r="B90" s="104" t="s">
        <v>67</v>
      </c>
      <c r="C90" s="103">
        <v>2.5299999999999998</v>
      </c>
      <c r="D90" s="103">
        <v>2.5299999999999998</v>
      </c>
      <c r="E90" s="103">
        <v>2.5299999999999998</v>
      </c>
      <c r="F90" s="103">
        <v>2.5299999999999998</v>
      </c>
      <c r="G90" s="103">
        <v>4.82</v>
      </c>
      <c r="H90" s="103">
        <v>4.82</v>
      </c>
      <c r="I90" s="103">
        <v>4.82</v>
      </c>
      <c r="J90" s="103">
        <v>4.82</v>
      </c>
    </row>
    <row r="91" spans="2:10" x14ac:dyDescent="0.25">
      <c r="B91" s="104" t="s">
        <v>68</v>
      </c>
      <c r="C91" s="103">
        <v>3.21</v>
      </c>
      <c r="D91" s="103">
        <v>3.21</v>
      </c>
      <c r="E91" s="103">
        <v>3.21</v>
      </c>
      <c r="F91" s="103">
        <v>3.21</v>
      </c>
      <c r="G91" s="103">
        <v>6.16</v>
      </c>
      <c r="H91" s="103">
        <v>6.16</v>
      </c>
      <c r="I91" s="103">
        <v>6.16</v>
      </c>
      <c r="J91" s="103">
        <v>6.16</v>
      </c>
    </row>
    <row r="92" spans="2:10" x14ac:dyDescent="0.25">
      <c r="B92" s="104" t="s">
        <v>69</v>
      </c>
      <c r="C92" s="103">
        <v>3.89</v>
      </c>
      <c r="D92" s="103">
        <v>3.89</v>
      </c>
      <c r="E92" s="103">
        <v>3.89</v>
      </c>
      <c r="F92" s="103">
        <v>3.89</v>
      </c>
      <c r="G92" s="103">
        <v>7.5</v>
      </c>
      <c r="H92" s="103">
        <v>7.5</v>
      </c>
      <c r="I92" s="103">
        <v>7.5</v>
      </c>
      <c r="J92" s="103">
        <v>7.5</v>
      </c>
    </row>
    <row r="93" spans="2:10" x14ac:dyDescent="0.25">
      <c r="B93" s="104" t="s">
        <v>70</v>
      </c>
      <c r="C93" s="103">
        <v>4.58</v>
      </c>
      <c r="D93" s="103">
        <v>4.58</v>
      </c>
      <c r="E93" s="103">
        <v>4.58</v>
      </c>
      <c r="F93" s="103">
        <v>4.58</v>
      </c>
      <c r="G93" s="103">
        <v>8.84</v>
      </c>
      <c r="H93" s="103">
        <v>8.84</v>
      </c>
      <c r="I93" s="103">
        <v>8.84</v>
      </c>
      <c r="J93" s="103">
        <v>8.84</v>
      </c>
    </row>
    <row r="94" spans="2:10" x14ac:dyDescent="0.25">
      <c r="B94" s="104" t="s">
        <v>71</v>
      </c>
      <c r="C94" s="103">
        <v>5.26</v>
      </c>
      <c r="D94" s="103">
        <v>5.26</v>
      </c>
      <c r="E94" s="103">
        <v>5.26</v>
      </c>
      <c r="F94" s="103">
        <v>5.26</v>
      </c>
      <c r="G94" s="103">
        <v>10.18</v>
      </c>
      <c r="H94" s="103">
        <v>10.18</v>
      </c>
      <c r="I94" s="103">
        <v>10.18</v>
      </c>
      <c r="J94" s="103">
        <v>10.18</v>
      </c>
    </row>
    <row r="95" spans="2:10" x14ac:dyDescent="0.25">
      <c r="B95" s="104" t="s">
        <v>72</v>
      </c>
      <c r="C95" s="103">
        <v>5.94</v>
      </c>
      <c r="D95" s="103">
        <v>5.94</v>
      </c>
      <c r="E95" s="103">
        <v>5.94</v>
      </c>
      <c r="F95" s="103">
        <v>5.94</v>
      </c>
      <c r="G95" s="103">
        <v>11.52</v>
      </c>
      <c r="H95" s="103">
        <v>11.52</v>
      </c>
      <c r="I95" s="103">
        <v>11.52</v>
      </c>
      <c r="J95" s="103">
        <v>11.52</v>
      </c>
    </row>
    <row r="96" spans="2:10" x14ac:dyDescent="0.25">
      <c r="B96" s="104" t="s">
        <v>73</v>
      </c>
      <c r="C96" s="103">
        <v>6.63</v>
      </c>
      <c r="D96" s="103">
        <v>6.63</v>
      </c>
      <c r="E96" s="103">
        <v>6.63</v>
      </c>
      <c r="F96" s="103">
        <v>6.63</v>
      </c>
      <c r="G96" s="103">
        <v>12.86</v>
      </c>
      <c r="H96" s="103">
        <v>12.86</v>
      </c>
      <c r="I96" s="103">
        <v>12.86</v>
      </c>
      <c r="J96" s="103">
        <v>12.86</v>
      </c>
    </row>
    <row r="97" spans="2:22" x14ac:dyDescent="0.25">
      <c r="B97" s="104" t="s">
        <v>74</v>
      </c>
      <c r="C97" s="103">
        <v>7.31</v>
      </c>
      <c r="D97" s="103">
        <v>7.31</v>
      </c>
      <c r="E97" s="103">
        <v>7.31</v>
      </c>
      <c r="F97" s="103">
        <v>7.31</v>
      </c>
      <c r="G97" s="103">
        <v>14.2</v>
      </c>
      <c r="H97" s="103">
        <v>14.2</v>
      </c>
      <c r="I97" s="103">
        <v>14.2</v>
      </c>
      <c r="J97" s="103">
        <v>14.2</v>
      </c>
    </row>
    <row r="99" spans="2:22" x14ac:dyDescent="0.25">
      <c r="B99" s="90" t="s">
        <v>313</v>
      </c>
      <c r="C99" s="498" t="s">
        <v>319</v>
      </c>
      <c r="D99" s="498"/>
      <c r="E99" s="498"/>
      <c r="F99" s="498"/>
      <c r="G99" s="498"/>
      <c r="H99" s="498"/>
      <c r="I99" s="498"/>
      <c r="J99" s="498"/>
      <c r="K99" s="498"/>
      <c r="L99" s="498"/>
      <c r="M99" s="498"/>
      <c r="N99" s="498"/>
      <c r="O99" s="498"/>
      <c r="P99" s="498"/>
      <c r="Q99" s="498"/>
      <c r="R99" s="498"/>
      <c r="S99" s="498"/>
      <c r="T99" s="498"/>
      <c r="U99" s="498"/>
      <c r="V99" s="498"/>
    </row>
    <row r="100" spans="2:22" x14ac:dyDescent="0.25">
      <c r="B100" s="212" t="s">
        <v>0</v>
      </c>
      <c r="C100" s="116" t="s">
        <v>349</v>
      </c>
      <c r="D100" s="116" t="s">
        <v>350</v>
      </c>
      <c r="E100" s="116" t="s">
        <v>351</v>
      </c>
      <c r="F100" s="116" t="s">
        <v>352</v>
      </c>
      <c r="G100" s="116" t="s">
        <v>340</v>
      </c>
      <c r="H100" s="116" t="s">
        <v>341</v>
      </c>
      <c r="I100" s="116" t="s">
        <v>342</v>
      </c>
      <c r="J100" s="116" t="s">
        <v>343</v>
      </c>
      <c r="K100" s="116" t="s">
        <v>353</v>
      </c>
      <c r="L100" s="116" t="s">
        <v>354</v>
      </c>
      <c r="M100" s="116" t="s">
        <v>355</v>
      </c>
      <c r="N100" s="116" t="s">
        <v>356</v>
      </c>
      <c r="O100" s="116" t="s">
        <v>344</v>
      </c>
      <c r="P100" s="116" t="s">
        <v>345</v>
      </c>
      <c r="Q100" s="116" t="s">
        <v>346</v>
      </c>
      <c r="R100" s="116" t="s">
        <v>347</v>
      </c>
      <c r="S100" s="116" t="s">
        <v>362</v>
      </c>
      <c r="T100" s="116" t="s">
        <v>363</v>
      </c>
      <c r="U100" s="116" t="s">
        <v>364</v>
      </c>
      <c r="V100" s="116" t="s">
        <v>365</v>
      </c>
    </row>
    <row r="101" spans="2:22" x14ac:dyDescent="0.25">
      <c r="B101" s="111" t="s">
        <v>66</v>
      </c>
      <c r="C101" s="119">
        <v>1.68</v>
      </c>
      <c r="D101" s="119">
        <v>1.56</v>
      </c>
      <c r="E101" s="119">
        <v>1.43</v>
      </c>
      <c r="F101" s="119">
        <v>1.31</v>
      </c>
      <c r="G101" s="119">
        <v>2.73</v>
      </c>
      <c r="H101" s="119">
        <v>2.6</v>
      </c>
      <c r="I101" s="119">
        <v>2.46</v>
      </c>
      <c r="J101" s="119">
        <v>2.31</v>
      </c>
      <c r="K101" s="119">
        <v>3.99</v>
      </c>
      <c r="L101" s="119">
        <v>3.84</v>
      </c>
      <c r="M101" s="119">
        <v>3.68</v>
      </c>
      <c r="N101" s="119">
        <v>3.52</v>
      </c>
      <c r="O101" s="119">
        <v>5.42</v>
      </c>
      <c r="P101" s="119">
        <v>5.26</v>
      </c>
      <c r="Q101" s="119">
        <v>5.09</v>
      </c>
      <c r="R101" s="119">
        <v>4.91</v>
      </c>
      <c r="S101" s="119">
        <v>5.42</v>
      </c>
      <c r="T101" s="119">
        <v>5.26</v>
      </c>
      <c r="U101" s="119">
        <v>5.09</v>
      </c>
      <c r="V101" s="119">
        <v>4.91</v>
      </c>
    </row>
    <row r="102" spans="2:22" x14ac:dyDescent="0.25">
      <c r="B102" s="104" t="s">
        <v>67</v>
      </c>
      <c r="C102" s="119">
        <v>2.1426799999999999</v>
      </c>
      <c r="D102" s="119">
        <v>1.9908800000000002</v>
      </c>
      <c r="E102" s="119">
        <v>1.83264</v>
      </c>
      <c r="F102" s="119">
        <v>1.67072</v>
      </c>
      <c r="G102" s="119">
        <v>3.5144999999999995</v>
      </c>
      <c r="H102" s="119">
        <v>3.3417000000000003</v>
      </c>
      <c r="I102" s="119">
        <v>3.1598999999999999</v>
      </c>
      <c r="J102" s="119">
        <v>2.9708999999999994</v>
      </c>
      <c r="K102" s="119">
        <v>5.16296</v>
      </c>
      <c r="L102" s="119">
        <v>4.9684800000000005</v>
      </c>
      <c r="M102" s="119">
        <v>4.7669600000000001</v>
      </c>
      <c r="N102" s="119">
        <v>4.5575199999999993</v>
      </c>
      <c r="O102" s="119">
        <v>7.0666199999999995</v>
      </c>
      <c r="P102" s="119">
        <v>6.8499000000000008</v>
      </c>
      <c r="Q102" s="119">
        <v>6.6280199999999994</v>
      </c>
      <c r="R102" s="119">
        <v>6.3992599999999991</v>
      </c>
      <c r="S102" s="119">
        <v>7.0666199999999995</v>
      </c>
      <c r="T102" s="119">
        <v>6.8499000000000008</v>
      </c>
      <c r="U102" s="119">
        <v>6.6280199999999994</v>
      </c>
      <c r="V102" s="119">
        <v>6.3992599999999991</v>
      </c>
    </row>
    <row r="103" spans="2:22" x14ac:dyDescent="0.25">
      <c r="B103" s="104" t="s">
        <v>68</v>
      </c>
      <c r="C103" s="119">
        <v>2.6084800000000001</v>
      </c>
      <c r="D103" s="119">
        <v>2.4236800000000005</v>
      </c>
      <c r="E103" s="119">
        <v>2.2310400000000001</v>
      </c>
      <c r="F103" s="119">
        <v>2.0339200000000002</v>
      </c>
      <c r="G103" s="119">
        <v>4.2954999999999997</v>
      </c>
      <c r="H103" s="119">
        <v>4.0842999999999998</v>
      </c>
      <c r="I103" s="119">
        <v>3.8620999999999999</v>
      </c>
      <c r="J103" s="119">
        <v>3.6311</v>
      </c>
      <c r="K103" s="119">
        <v>6.3363600000000009</v>
      </c>
      <c r="L103" s="119">
        <v>6.0976800000000004</v>
      </c>
      <c r="M103" s="119">
        <v>5.8503600000000002</v>
      </c>
      <c r="N103" s="119">
        <v>5.5933199999999994</v>
      </c>
      <c r="O103" s="119">
        <v>8.7100200000000001</v>
      </c>
      <c r="P103" s="119">
        <v>8.4429000000000016</v>
      </c>
      <c r="Q103" s="119">
        <v>8.1694199999999988</v>
      </c>
      <c r="R103" s="119">
        <v>7.8874599999999999</v>
      </c>
      <c r="S103" s="119">
        <v>8.7100200000000001</v>
      </c>
      <c r="T103" s="119">
        <v>8.4429000000000016</v>
      </c>
      <c r="U103" s="119">
        <v>8.1694199999999988</v>
      </c>
      <c r="V103" s="119">
        <v>7.8874599999999999</v>
      </c>
    </row>
    <row r="104" spans="2:22" x14ac:dyDescent="0.25">
      <c r="B104" s="104" t="s">
        <v>69</v>
      </c>
      <c r="C104" s="119">
        <v>3.0742799999999999</v>
      </c>
      <c r="D104" s="119">
        <v>2.8564799999999999</v>
      </c>
      <c r="E104" s="119">
        <v>2.6294400000000002</v>
      </c>
      <c r="F104" s="119">
        <v>2.3971199999999997</v>
      </c>
      <c r="G104" s="119">
        <v>5.0765000000000002</v>
      </c>
      <c r="H104" s="119">
        <v>4.8269000000000002</v>
      </c>
      <c r="I104" s="119">
        <v>4.5643000000000002</v>
      </c>
      <c r="J104" s="119">
        <v>4.2913000000000006</v>
      </c>
      <c r="K104" s="119">
        <v>7.50976</v>
      </c>
      <c r="L104" s="119">
        <v>7.2268800000000004</v>
      </c>
      <c r="M104" s="119">
        <v>6.9337600000000004</v>
      </c>
      <c r="N104" s="119">
        <v>6.6291199999999995</v>
      </c>
      <c r="O104" s="119">
        <v>10.35342</v>
      </c>
      <c r="P104" s="119">
        <v>10.035900000000002</v>
      </c>
      <c r="Q104" s="119">
        <v>9.71082</v>
      </c>
      <c r="R104" s="119">
        <v>9.3756599999999999</v>
      </c>
      <c r="S104" s="119">
        <v>10.35342</v>
      </c>
      <c r="T104" s="119">
        <v>10.035900000000002</v>
      </c>
      <c r="U104" s="119">
        <v>9.71082</v>
      </c>
      <c r="V104" s="119">
        <v>9.3756599999999999</v>
      </c>
    </row>
    <row r="105" spans="2:22" x14ac:dyDescent="0.25">
      <c r="B105" s="104" t="s">
        <v>70</v>
      </c>
      <c r="C105" s="119">
        <v>3.5400800000000001</v>
      </c>
      <c r="D105" s="119">
        <v>3.2892800000000002</v>
      </c>
      <c r="E105" s="119">
        <v>3.0278400000000003</v>
      </c>
      <c r="F105" s="119">
        <v>2.7603200000000001</v>
      </c>
      <c r="G105" s="119">
        <v>5.8574999999999999</v>
      </c>
      <c r="H105" s="119">
        <v>5.5694999999999997</v>
      </c>
      <c r="I105" s="119">
        <v>5.2664999999999997</v>
      </c>
      <c r="J105" s="119">
        <v>4.9515000000000002</v>
      </c>
      <c r="K105" s="119">
        <v>8.6831599999999991</v>
      </c>
      <c r="L105" s="119">
        <v>8.3560800000000004</v>
      </c>
      <c r="M105" s="119">
        <v>8.0171600000000005</v>
      </c>
      <c r="N105" s="119">
        <v>7.6649200000000004</v>
      </c>
      <c r="O105" s="119">
        <v>11.99682</v>
      </c>
      <c r="P105" s="119">
        <v>11.628900000000002</v>
      </c>
      <c r="Q105" s="119">
        <v>11.252219999999999</v>
      </c>
      <c r="R105" s="119">
        <v>10.863859999999999</v>
      </c>
      <c r="S105" s="119">
        <v>11.99682</v>
      </c>
      <c r="T105" s="119">
        <v>11.628900000000002</v>
      </c>
      <c r="U105" s="119">
        <v>11.252219999999999</v>
      </c>
      <c r="V105" s="119">
        <v>10.863859999999999</v>
      </c>
    </row>
    <row r="106" spans="2:22" x14ac:dyDescent="0.25">
      <c r="B106" s="104" t="s">
        <v>71</v>
      </c>
      <c r="C106" s="119">
        <v>4.0058799999999994</v>
      </c>
      <c r="D106" s="119">
        <v>3.7220800000000001</v>
      </c>
      <c r="E106" s="119">
        <v>3.4262400000000004</v>
      </c>
      <c r="F106" s="119">
        <v>3.1235200000000001</v>
      </c>
      <c r="G106" s="119">
        <v>6.6384999999999987</v>
      </c>
      <c r="H106" s="119">
        <v>6.3121</v>
      </c>
      <c r="I106" s="119">
        <v>5.9687000000000001</v>
      </c>
      <c r="J106" s="119">
        <v>5.6116999999999999</v>
      </c>
      <c r="K106" s="119">
        <v>9.85656</v>
      </c>
      <c r="L106" s="119">
        <v>9.4852800000000013</v>
      </c>
      <c r="M106" s="119">
        <v>9.1005599999999998</v>
      </c>
      <c r="N106" s="119">
        <v>8.7007199999999987</v>
      </c>
      <c r="O106" s="119">
        <v>13.640220000000001</v>
      </c>
      <c r="P106" s="119">
        <v>13.221900000000002</v>
      </c>
      <c r="Q106" s="119">
        <v>12.793619999999999</v>
      </c>
      <c r="R106" s="119">
        <v>12.35206</v>
      </c>
      <c r="S106" s="119">
        <v>13.640220000000001</v>
      </c>
      <c r="T106" s="119">
        <v>13.221900000000002</v>
      </c>
      <c r="U106" s="119">
        <v>12.793619999999999</v>
      </c>
      <c r="V106" s="119">
        <v>12.35206</v>
      </c>
    </row>
    <row r="107" spans="2:22" x14ac:dyDescent="0.25">
      <c r="B107" s="104" t="s">
        <v>72</v>
      </c>
      <c r="C107" s="119">
        <v>4.4716800000000001</v>
      </c>
      <c r="D107" s="119">
        <v>4.1548800000000004</v>
      </c>
      <c r="E107" s="119">
        <v>3.8246400000000005</v>
      </c>
      <c r="F107" s="119">
        <v>3.48672</v>
      </c>
      <c r="G107" s="119">
        <v>7.4194999999999993</v>
      </c>
      <c r="H107" s="119">
        <v>7.0547000000000004</v>
      </c>
      <c r="I107" s="119">
        <v>6.6708999999999996</v>
      </c>
      <c r="J107" s="119">
        <v>6.2718999999999996</v>
      </c>
      <c r="K107" s="119">
        <v>11.029960000000001</v>
      </c>
      <c r="L107" s="119">
        <v>10.61448</v>
      </c>
      <c r="M107" s="119">
        <v>10.183960000000001</v>
      </c>
      <c r="N107" s="119">
        <v>9.7365200000000005</v>
      </c>
      <c r="O107" s="119">
        <v>15.283620000000001</v>
      </c>
      <c r="P107" s="119">
        <v>14.814900000000002</v>
      </c>
      <c r="Q107" s="119">
        <v>14.335019999999998</v>
      </c>
      <c r="R107" s="119">
        <v>13.840260000000001</v>
      </c>
      <c r="S107" s="119">
        <v>15.283620000000001</v>
      </c>
      <c r="T107" s="119">
        <v>14.814900000000002</v>
      </c>
      <c r="U107" s="119">
        <v>14.335019999999998</v>
      </c>
      <c r="V107" s="119">
        <v>13.840260000000001</v>
      </c>
    </row>
    <row r="108" spans="2:22" x14ac:dyDescent="0.25">
      <c r="B108" s="104" t="s">
        <v>73</v>
      </c>
      <c r="C108" s="119">
        <v>4.9374799999999999</v>
      </c>
      <c r="D108" s="119">
        <v>4.5876800000000006</v>
      </c>
      <c r="E108" s="119">
        <v>4.2230400000000001</v>
      </c>
      <c r="F108" s="119">
        <v>3.84992</v>
      </c>
      <c r="G108" s="119">
        <v>8.2004999999999999</v>
      </c>
      <c r="H108" s="119">
        <v>7.7972999999999999</v>
      </c>
      <c r="I108" s="119">
        <v>7.3730999999999991</v>
      </c>
      <c r="J108" s="119">
        <v>6.9320999999999993</v>
      </c>
      <c r="K108" s="119">
        <v>12.20336</v>
      </c>
      <c r="L108" s="119">
        <v>11.743679999999999</v>
      </c>
      <c r="M108" s="119">
        <v>11.26736</v>
      </c>
      <c r="N108" s="119">
        <v>10.772320000000001</v>
      </c>
      <c r="O108" s="119">
        <v>16.927019999999999</v>
      </c>
      <c r="P108" s="119">
        <v>16.407900000000001</v>
      </c>
      <c r="Q108" s="119">
        <v>15.876419999999998</v>
      </c>
      <c r="R108" s="119">
        <v>15.32846</v>
      </c>
      <c r="S108" s="119">
        <v>16.927019999999999</v>
      </c>
      <c r="T108" s="119">
        <v>16.407900000000001</v>
      </c>
      <c r="U108" s="119">
        <v>15.876419999999998</v>
      </c>
      <c r="V108" s="119">
        <v>15.32846</v>
      </c>
    </row>
    <row r="109" spans="2:22" x14ac:dyDescent="0.25">
      <c r="B109" s="104" t="s">
        <v>74</v>
      </c>
      <c r="C109" s="119">
        <v>5.4032799999999996</v>
      </c>
      <c r="D109" s="119">
        <v>5.0204800000000001</v>
      </c>
      <c r="E109" s="119">
        <v>4.6214400000000007</v>
      </c>
      <c r="F109" s="119">
        <v>4.21312</v>
      </c>
      <c r="G109" s="119">
        <v>8.9815000000000005</v>
      </c>
      <c r="H109" s="119">
        <v>8.5399000000000012</v>
      </c>
      <c r="I109" s="119">
        <v>8.0753000000000004</v>
      </c>
      <c r="J109" s="119">
        <v>7.5922999999999989</v>
      </c>
      <c r="K109" s="119">
        <v>13.376760000000001</v>
      </c>
      <c r="L109" s="119">
        <v>12.87288</v>
      </c>
      <c r="M109" s="119">
        <v>12.350760000000001</v>
      </c>
      <c r="N109" s="119">
        <v>11.808119999999999</v>
      </c>
      <c r="O109" s="119">
        <v>18.570420000000002</v>
      </c>
      <c r="P109" s="119">
        <v>18.000900000000001</v>
      </c>
      <c r="Q109" s="119">
        <v>17.417819999999999</v>
      </c>
      <c r="R109" s="119">
        <v>16.816659999999999</v>
      </c>
      <c r="S109" s="119">
        <v>18.570420000000002</v>
      </c>
      <c r="T109" s="119">
        <v>18.000900000000001</v>
      </c>
      <c r="U109" s="119">
        <v>17.417819999999999</v>
      </c>
      <c r="V109" s="119">
        <v>16.816659999999999</v>
      </c>
    </row>
    <row r="111" spans="2:22" x14ac:dyDescent="0.25">
      <c r="B111" s="90" t="s">
        <v>313</v>
      </c>
      <c r="C111" s="502" t="s">
        <v>359</v>
      </c>
      <c r="D111" s="502"/>
      <c r="F111" s="90" t="s">
        <v>313</v>
      </c>
      <c r="G111" s="498" t="s">
        <v>359</v>
      </c>
      <c r="H111" s="498"/>
      <c r="I111" s="498"/>
      <c r="J111" s="498"/>
    </row>
    <row r="112" spans="2:22" x14ac:dyDescent="0.25">
      <c r="B112" s="212" t="s">
        <v>312</v>
      </c>
      <c r="C112" s="213" t="s">
        <v>294</v>
      </c>
      <c r="D112" s="212" t="s">
        <v>305</v>
      </c>
      <c r="F112" s="212" t="s">
        <v>312</v>
      </c>
      <c r="G112" s="212">
        <v>60</v>
      </c>
      <c r="H112" s="212">
        <v>80</v>
      </c>
      <c r="I112" s="212">
        <v>100</v>
      </c>
      <c r="J112" s="212">
        <v>120</v>
      </c>
    </row>
    <row r="113" spans="2:13" x14ac:dyDescent="0.25">
      <c r="B113" s="96">
        <v>1</v>
      </c>
      <c r="C113" s="106" t="s">
        <v>236</v>
      </c>
      <c r="D113" s="96">
        <v>3</v>
      </c>
      <c r="F113" s="89" t="s">
        <v>27</v>
      </c>
      <c r="G113" s="79">
        <v>23.29</v>
      </c>
      <c r="H113" s="79">
        <v>21.64</v>
      </c>
      <c r="I113" s="79">
        <v>19.920000000000002</v>
      </c>
      <c r="J113" s="79">
        <v>18.16</v>
      </c>
    </row>
    <row r="114" spans="2:13" x14ac:dyDescent="0.25">
      <c r="B114" s="124" t="s">
        <v>27</v>
      </c>
      <c r="C114" s="79">
        <v>396</v>
      </c>
      <c r="D114" s="79">
        <v>28.41</v>
      </c>
      <c r="F114" s="120" t="s">
        <v>22</v>
      </c>
      <c r="G114" s="79">
        <v>39.049999999999997</v>
      </c>
      <c r="H114" s="79">
        <v>37.130000000000003</v>
      </c>
      <c r="I114" s="79">
        <v>35.11</v>
      </c>
      <c r="J114" s="79">
        <v>33.01</v>
      </c>
    </row>
    <row r="115" spans="2:13" x14ac:dyDescent="0.25">
      <c r="B115" s="123" t="s">
        <v>22</v>
      </c>
      <c r="C115" s="79">
        <v>495</v>
      </c>
      <c r="D115" s="79">
        <v>44.39</v>
      </c>
      <c r="F115" s="89" t="s">
        <v>26</v>
      </c>
      <c r="G115" s="79">
        <v>58.67</v>
      </c>
      <c r="H115" s="79">
        <v>56.46</v>
      </c>
      <c r="I115" s="79">
        <v>54.17</v>
      </c>
      <c r="J115" s="79">
        <v>51.79</v>
      </c>
    </row>
    <row r="116" spans="2:13" x14ac:dyDescent="0.25">
      <c r="B116" s="124" t="s">
        <v>26</v>
      </c>
      <c r="C116" s="79">
        <v>594</v>
      </c>
      <c r="D116" s="79">
        <v>63.92</v>
      </c>
      <c r="F116" s="124" t="s">
        <v>288</v>
      </c>
      <c r="G116" s="79">
        <v>82.17</v>
      </c>
      <c r="H116" s="79">
        <v>79.650000000000006</v>
      </c>
      <c r="I116" s="79">
        <v>77.069999999999993</v>
      </c>
      <c r="J116" s="79">
        <v>74.41</v>
      </c>
    </row>
    <row r="117" spans="2:13" x14ac:dyDescent="0.25">
      <c r="B117" s="124" t="s">
        <v>288</v>
      </c>
      <c r="C117" s="79">
        <v>693</v>
      </c>
      <c r="D117" s="79">
        <v>87.01</v>
      </c>
      <c r="F117" s="120" t="s">
        <v>275</v>
      </c>
      <c r="G117" s="79">
        <v>82.17</v>
      </c>
      <c r="H117" s="79">
        <v>79.650000000000006</v>
      </c>
      <c r="I117" s="79">
        <v>77.069999999999993</v>
      </c>
      <c r="J117" s="79">
        <v>74.41</v>
      </c>
    </row>
    <row r="118" spans="2:13" x14ac:dyDescent="0.25">
      <c r="B118" s="123" t="s">
        <v>275</v>
      </c>
      <c r="C118" s="79">
        <v>693</v>
      </c>
      <c r="D118" s="79">
        <v>87.01</v>
      </c>
    </row>
    <row r="119" spans="2:13" x14ac:dyDescent="0.25">
      <c r="B119" s="11"/>
      <c r="C119" s="85"/>
      <c r="D119" s="85"/>
      <c r="E119" s="11"/>
      <c r="F119" s="11"/>
    </row>
    <row r="120" spans="2:13" x14ac:dyDescent="0.25">
      <c r="B120" s="90" t="s">
        <v>313</v>
      </c>
      <c r="C120" s="499" t="s">
        <v>314</v>
      </c>
      <c r="D120" s="500"/>
      <c r="E120" s="500"/>
      <c r="F120" s="501"/>
    </row>
    <row r="121" spans="2:13" x14ac:dyDescent="0.25">
      <c r="B121" s="212" t="s">
        <v>0</v>
      </c>
      <c r="C121" s="212">
        <v>60</v>
      </c>
      <c r="D121" s="212">
        <v>80</v>
      </c>
      <c r="E121" s="212">
        <v>100</v>
      </c>
      <c r="F121" s="212">
        <v>120</v>
      </c>
    </row>
    <row r="122" spans="2:13" x14ac:dyDescent="0.25">
      <c r="B122" s="104" t="s">
        <v>75</v>
      </c>
      <c r="C122" s="88">
        <v>14</v>
      </c>
      <c r="D122" s="88">
        <v>14</v>
      </c>
      <c r="E122" s="87" t="s">
        <v>293</v>
      </c>
      <c r="F122" s="87" t="s">
        <v>293</v>
      </c>
      <c r="H122" s="204"/>
      <c r="I122" s="204"/>
      <c r="J122" s="204"/>
      <c r="K122" s="204"/>
      <c r="L122" s="204"/>
      <c r="M122" s="204"/>
    </row>
    <row r="123" spans="2:13" x14ac:dyDescent="0.25">
      <c r="B123" s="104" t="s">
        <v>72</v>
      </c>
      <c r="C123" s="88">
        <v>12.49</v>
      </c>
      <c r="D123" s="88">
        <v>12.49</v>
      </c>
      <c r="E123" s="87" t="s">
        <v>293</v>
      </c>
      <c r="F123" s="87" t="s">
        <v>293</v>
      </c>
      <c r="H123" s="204"/>
      <c r="I123" s="204"/>
      <c r="J123" s="204"/>
      <c r="K123" s="204"/>
      <c r="L123" s="204"/>
      <c r="M123" s="204"/>
    </row>
    <row r="124" spans="2:13" x14ac:dyDescent="0.25">
      <c r="B124" s="104" t="s">
        <v>78</v>
      </c>
      <c r="C124" s="88">
        <v>11</v>
      </c>
      <c r="D124" s="88">
        <v>11</v>
      </c>
      <c r="E124" s="87" t="s">
        <v>293</v>
      </c>
      <c r="F124" s="87" t="s">
        <v>293</v>
      </c>
      <c r="H124" s="204"/>
      <c r="I124" s="204"/>
      <c r="J124" s="204"/>
      <c r="K124" s="204"/>
      <c r="L124" s="204"/>
      <c r="M124" s="204"/>
    </row>
    <row r="125" spans="2:13" x14ac:dyDescent="0.25">
      <c r="B125" s="104" t="s">
        <v>76</v>
      </c>
      <c r="C125" s="88">
        <v>16</v>
      </c>
      <c r="D125" s="88">
        <v>16</v>
      </c>
      <c r="E125" s="87" t="s">
        <v>293</v>
      </c>
      <c r="F125" s="87" t="s">
        <v>293</v>
      </c>
      <c r="H125" s="204"/>
      <c r="I125" s="204"/>
      <c r="J125" s="204"/>
      <c r="K125" s="204"/>
      <c r="L125" s="204"/>
      <c r="M125" s="204"/>
    </row>
    <row r="126" spans="2:13" x14ac:dyDescent="0.25">
      <c r="B126" s="104" t="s">
        <v>73</v>
      </c>
      <c r="C126" s="88">
        <v>14</v>
      </c>
      <c r="D126" s="88">
        <v>14</v>
      </c>
      <c r="E126" s="87" t="s">
        <v>293</v>
      </c>
      <c r="F126" s="87" t="s">
        <v>293</v>
      </c>
      <c r="H126" s="204"/>
      <c r="I126" s="204"/>
      <c r="J126" s="204"/>
      <c r="K126" s="204"/>
      <c r="L126" s="204"/>
      <c r="M126" s="204"/>
    </row>
    <row r="127" spans="2:13" x14ac:dyDescent="0.25">
      <c r="B127" s="104" t="s">
        <v>79</v>
      </c>
      <c r="C127" s="88">
        <v>12</v>
      </c>
      <c r="D127" s="88">
        <v>12</v>
      </c>
      <c r="E127" s="87" t="s">
        <v>293</v>
      </c>
      <c r="F127" s="87" t="s">
        <v>293</v>
      </c>
      <c r="H127" s="204"/>
      <c r="I127" s="204"/>
      <c r="J127" s="204"/>
      <c r="K127" s="204"/>
      <c r="L127" s="204"/>
      <c r="M127" s="204"/>
    </row>
    <row r="128" spans="2:13" x14ac:dyDescent="0.25">
      <c r="B128" s="104" t="s">
        <v>77</v>
      </c>
      <c r="C128" s="88">
        <v>19</v>
      </c>
      <c r="D128" s="88">
        <v>19</v>
      </c>
      <c r="E128" s="87" t="s">
        <v>293</v>
      </c>
      <c r="F128" s="87" t="s">
        <v>293</v>
      </c>
      <c r="H128" s="204"/>
      <c r="I128" s="204"/>
      <c r="J128" s="204"/>
      <c r="K128" s="204"/>
      <c r="L128" s="204"/>
      <c r="M128" s="204"/>
    </row>
    <row r="129" spans="2:13" x14ac:dyDescent="0.25">
      <c r="B129" s="104" t="s">
        <v>74</v>
      </c>
      <c r="C129" s="88">
        <v>17</v>
      </c>
      <c r="D129" s="88">
        <v>17</v>
      </c>
      <c r="E129" s="87" t="s">
        <v>293</v>
      </c>
      <c r="F129" s="87" t="s">
        <v>293</v>
      </c>
      <c r="H129" s="204"/>
      <c r="I129" s="204"/>
      <c r="J129" s="204"/>
      <c r="K129" s="204"/>
      <c r="L129" s="204"/>
      <c r="M129" s="204"/>
    </row>
    <row r="130" spans="2:13" x14ac:dyDescent="0.25">
      <c r="B130" s="104" t="s">
        <v>80</v>
      </c>
      <c r="C130" s="88">
        <v>15</v>
      </c>
      <c r="D130" s="88">
        <v>15</v>
      </c>
      <c r="E130" s="87" t="s">
        <v>293</v>
      </c>
      <c r="F130" s="87" t="s">
        <v>293</v>
      </c>
      <c r="H130" s="204"/>
      <c r="I130" s="204"/>
      <c r="J130" s="204"/>
      <c r="K130" s="204"/>
      <c r="L130" s="204"/>
    </row>
    <row r="132" spans="2:13" x14ac:dyDescent="0.25">
      <c r="B132" s="90" t="s">
        <v>313</v>
      </c>
      <c r="C132" s="499" t="s">
        <v>321</v>
      </c>
      <c r="D132" s="500"/>
      <c r="E132" s="500"/>
      <c r="F132" s="500"/>
      <c r="G132" s="500"/>
      <c r="H132" s="500"/>
      <c r="I132" s="500"/>
      <c r="J132" s="501"/>
    </row>
    <row r="133" spans="2:13" x14ac:dyDescent="0.25">
      <c r="B133" s="212" t="s">
        <v>0</v>
      </c>
      <c r="C133" s="116" t="s">
        <v>340</v>
      </c>
      <c r="D133" s="116" t="s">
        <v>341</v>
      </c>
      <c r="E133" s="116" t="s">
        <v>342</v>
      </c>
      <c r="F133" s="116" t="s">
        <v>343</v>
      </c>
      <c r="G133" s="116" t="s">
        <v>344</v>
      </c>
      <c r="H133" s="116" t="s">
        <v>345</v>
      </c>
      <c r="I133" s="116" t="s">
        <v>346</v>
      </c>
      <c r="J133" s="116" t="s">
        <v>347</v>
      </c>
    </row>
    <row r="134" spans="2:13" x14ac:dyDescent="0.25">
      <c r="B134" s="104" t="s">
        <v>67</v>
      </c>
      <c r="C134" s="103">
        <v>3.95</v>
      </c>
      <c r="D134" s="103">
        <v>3.95</v>
      </c>
      <c r="E134" s="103">
        <v>3.95</v>
      </c>
      <c r="F134" s="103">
        <v>3.95</v>
      </c>
      <c r="G134" s="103">
        <v>7.57</v>
      </c>
      <c r="H134" s="103">
        <v>7.57</v>
      </c>
      <c r="I134" s="103">
        <v>7.57</v>
      </c>
      <c r="J134" s="103">
        <v>7.57</v>
      </c>
    </row>
    <row r="135" spans="2:13" x14ac:dyDescent="0.25">
      <c r="B135" s="104" t="s">
        <v>68</v>
      </c>
      <c r="C135" s="103">
        <v>4.84</v>
      </c>
      <c r="D135" s="103">
        <v>4.84</v>
      </c>
      <c r="E135" s="103">
        <v>4.84</v>
      </c>
      <c r="F135" s="103">
        <v>4.84</v>
      </c>
      <c r="G135" s="103">
        <v>9.31</v>
      </c>
      <c r="H135" s="103">
        <v>9.31</v>
      </c>
      <c r="I135" s="103">
        <v>9.31</v>
      </c>
      <c r="J135" s="103">
        <v>9.31</v>
      </c>
    </row>
    <row r="136" spans="2:13" x14ac:dyDescent="0.25">
      <c r="B136" s="104" t="s">
        <v>69</v>
      </c>
      <c r="C136" s="103">
        <v>5.73</v>
      </c>
      <c r="D136" s="103">
        <v>5.73</v>
      </c>
      <c r="E136" s="103">
        <v>5.73</v>
      </c>
      <c r="F136" s="103">
        <v>5.73</v>
      </c>
      <c r="G136" s="103">
        <v>11.05</v>
      </c>
      <c r="H136" s="103">
        <v>11.05</v>
      </c>
      <c r="I136" s="103">
        <v>11.05</v>
      </c>
      <c r="J136" s="103">
        <v>11.05</v>
      </c>
    </row>
    <row r="137" spans="2:13" x14ac:dyDescent="0.25">
      <c r="B137" s="104" t="s">
        <v>70</v>
      </c>
      <c r="C137" s="103">
        <v>6.61</v>
      </c>
      <c r="D137" s="103">
        <v>6.61</v>
      </c>
      <c r="E137" s="103">
        <v>6.61</v>
      </c>
      <c r="F137" s="103">
        <v>6.61</v>
      </c>
      <c r="G137" s="103">
        <v>12.79</v>
      </c>
      <c r="H137" s="103">
        <v>12.79</v>
      </c>
      <c r="I137" s="103">
        <v>12.79</v>
      </c>
      <c r="J137" s="103">
        <v>12.79</v>
      </c>
    </row>
    <row r="138" spans="2:13" x14ac:dyDescent="0.25">
      <c r="B138" s="104" t="s">
        <v>71</v>
      </c>
      <c r="C138" s="103">
        <v>7.5</v>
      </c>
      <c r="D138" s="103">
        <v>7.5</v>
      </c>
      <c r="E138" s="103">
        <v>7.5</v>
      </c>
      <c r="F138" s="103">
        <v>7.5</v>
      </c>
      <c r="G138" s="103">
        <v>14.53</v>
      </c>
      <c r="H138" s="103">
        <v>14.53</v>
      </c>
      <c r="I138" s="103">
        <v>14.53</v>
      </c>
      <c r="J138" s="103">
        <v>14.53</v>
      </c>
    </row>
    <row r="139" spans="2:13" x14ac:dyDescent="0.25">
      <c r="B139" s="104" t="s">
        <v>72</v>
      </c>
      <c r="C139" s="103">
        <v>8.39</v>
      </c>
      <c r="D139" s="103">
        <v>8.39</v>
      </c>
      <c r="E139" s="103">
        <v>8.39</v>
      </c>
      <c r="F139" s="103">
        <v>8.39</v>
      </c>
      <c r="G139" s="103">
        <v>16.27</v>
      </c>
      <c r="H139" s="103">
        <v>16.27</v>
      </c>
      <c r="I139" s="103">
        <v>16.27</v>
      </c>
      <c r="J139" s="103">
        <v>16.27</v>
      </c>
    </row>
    <row r="140" spans="2:13" x14ac:dyDescent="0.25">
      <c r="B140" s="104" t="s">
        <v>73</v>
      </c>
      <c r="C140" s="103">
        <v>9.2799999999999994</v>
      </c>
      <c r="D140" s="103">
        <v>9.2799999999999994</v>
      </c>
      <c r="E140" s="103">
        <v>9.2799999999999994</v>
      </c>
      <c r="F140" s="103">
        <v>9.2799999999999994</v>
      </c>
      <c r="G140" s="103">
        <v>18.010000000000002</v>
      </c>
      <c r="H140" s="103">
        <v>18.010000000000002</v>
      </c>
      <c r="I140" s="103">
        <v>18.010000000000002</v>
      </c>
      <c r="J140" s="103">
        <v>18.010000000000002</v>
      </c>
    </row>
    <row r="141" spans="2:13" x14ac:dyDescent="0.25">
      <c r="B141" s="104" t="s">
        <v>74</v>
      </c>
      <c r="C141" s="103">
        <v>10.17</v>
      </c>
      <c r="D141" s="103">
        <v>10.17</v>
      </c>
      <c r="E141" s="103">
        <v>10.17</v>
      </c>
      <c r="F141" s="103">
        <v>10.17</v>
      </c>
      <c r="G141" s="103">
        <v>19.75</v>
      </c>
      <c r="H141" s="103">
        <v>19.75</v>
      </c>
      <c r="I141" s="103">
        <v>19.75</v>
      </c>
      <c r="J141" s="103">
        <v>19.75</v>
      </c>
    </row>
    <row r="143" spans="2:13" x14ac:dyDescent="0.25">
      <c r="B143" s="90" t="s">
        <v>313</v>
      </c>
      <c r="C143" s="499" t="s">
        <v>320</v>
      </c>
      <c r="D143" s="500"/>
      <c r="E143" s="500"/>
      <c r="F143" s="500"/>
      <c r="G143" s="500"/>
      <c r="H143" s="500"/>
      <c r="I143" s="500"/>
      <c r="J143" s="501"/>
    </row>
    <row r="144" spans="2:13" x14ac:dyDescent="0.25">
      <c r="B144" s="212" t="s">
        <v>0</v>
      </c>
      <c r="C144" s="116" t="s">
        <v>340</v>
      </c>
      <c r="D144" s="116" t="s">
        <v>341</v>
      </c>
      <c r="E144" s="116" t="s">
        <v>342</v>
      </c>
      <c r="F144" s="116" t="s">
        <v>343</v>
      </c>
      <c r="G144" s="116" t="s">
        <v>344</v>
      </c>
      <c r="H144" s="116" t="s">
        <v>345</v>
      </c>
      <c r="I144" s="116" t="s">
        <v>346</v>
      </c>
      <c r="J144" s="116" t="s">
        <v>347</v>
      </c>
    </row>
    <row r="145" spans="2:12" x14ac:dyDescent="0.25">
      <c r="B145" s="104" t="s">
        <v>67</v>
      </c>
      <c r="C145" s="103">
        <v>3.5144999999999995</v>
      </c>
      <c r="D145" s="103">
        <v>3.3417000000000003</v>
      </c>
      <c r="E145" s="103">
        <v>3.1598999999999999</v>
      </c>
      <c r="F145" s="103">
        <v>2.9708999999999994</v>
      </c>
      <c r="G145" s="103">
        <v>7.0666199999999995</v>
      </c>
      <c r="H145" s="103">
        <v>6.8499000000000008</v>
      </c>
      <c r="I145" s="103">
        <v>6.6280199999999994</v>
      </c>
      <c r="J145" s="103">
        <v>6.3992599999999991</v>
      </c>
    </row>
    <row r="146" spans="2:12" x14ac:dyDescent="0.25">
      <c r="B146" s="104" t="s">
        <v>68</v>
      </c>
      <c r="C146" s="103">
        <v>4.2954999999999997</v>
      </c>
      <c r="D146" s="103">
        <v>4.0842999999999998</v>
      </c>
      <c r="E146" s="103">
        <v>3.8620999999999999</v>
      </c>
      <c r="F146" s="103">
        <v>3.6311</v>
      </c>
      <c r="G146" s="103">
        <v>8.7100200000000001</v>
      </c>
      <c r="H146" s="103">
        <v>8.4429000000000016</v>
      </c>
      <c r="I146" s="103">
        <v>8.1694199999999988</v>
      </c>
      <c r="J146" s="103">
        <v>7.8874599999999999</v>
      </c>
    </row>
    <row r="147" spans="2:12" x14ac:dyDescent="0.25">
      <c r="B147" s="104" t="s">
        <v>69</v>
      </c>
      <c r="C147" s="103">
        <v>5.0765000000000002</v>
      </c>
      <c r="D147" s="103">
        <v>4.8269000000000002</v>
      </c>
      <c r="E147" s="103">
        <v>4.5643000000000002</v>
      </c>
      <c r="F147" s="103">
        <v>4.2913000000000006</v>
      </c>
      <c r="G147" s="103">
        <v>10.35342</v>
      </c>
      <c r="H147" s="103">
        <v>10.035900000000002</v>
      </c>
      <c r="I147" s="103">
        <v>9.71082</v>
      </c>
      <c r="J147" s="103">
        <v>9.3756599999999999</v>
      </c>
    </row>
    <row r="148" spans="2:12" x14ac:dyDescent="0.25">
      <c r="B148" s="104" t="s">
        <v>70</v>
      </c>
      <c r="C148" s="103">
        <v>5.8574999999999999</v>
      </c>
      <c r="D148" s="103">
        <v>5.5694999999999997</v>
      </c>
      <c r="E148" s="103">
        <v>5.2664999999999997</v>
      </c>
      <c r="F148" s="103">
        <v>4.9515000000000002</v>
      </c>
      <c r="G148" s="103">
        <v>11.99682</v>
      </c>
      <c r="H148" s="103">
        <v>11.628900000000002</v>
      </c>
      <c r="I148" s="103">
        <v>11.252219999999999</v>
      </c>
      <c r="J148" s="103">
        <v>10.863859999999999</v>
      </c>
    </row>
    <row r="149" spans="2:12" x14ac:dyDescent="0.25">
      <c r="B149" s="104" t="s">
        <v>71</v>
      </c>
      <c r="C149" s="103">
        <v>6.6384999999999987</v>
      </c>
      <c r="D149" s="103">
        <v>6.3121</v>
      </c>
      <c r="E149" s="103">
        <v>5.9687000000000001</v>
      </c>
      <c r="F149" s="103">
        <v>5.6116999999999999</v>
      </c>
      <c r="G149" s="103">
        <v>13.640220000000001</v>
      </c>
      <c r="H149" s="103">
        <v>13.221900000000002</v>
      </c>
      <c r="I149" s="103">
        <v>12.793619999999999</v>
      </c>
      <c r="J149" s="103">
        <v>12.35206</v>
      </c>
    </row>
    <row r="150" spans="2:12" x14ac:dyDescent="0.25">
      <c r="B150" s="104" t="s">
        <v>72</v>
      </c>
      <c r="C150" s="103">
        <v>7.4194999999999993</v>
      </c>
      <c r="D150" s="103">
        <v>7.0547000000000004</v>
      </c>
      <c r="E150" s="103">
        <v>6.6708999999999996</v>
      </c>
      <c r="F150" s="103">
        <v>6.2718999999999996</v>
      </c>
      <c r="G150" s="103">
        <v>15.283620000000001</v>
      </c>
      <c r="H150" s="103">
        <v>14.814900000000002</v>
      </c>
      <c r="I150" s="103">
        <v>14.335019999999998</v>
      </c>
      <c r="J150" s="103">
        <v>13.840260000000001</v>
      </c>
    </row>
    <row r="151" spans="2:12" x14ac:dyDescent="0.25">
      <c r="B151" s="104" t="s">
        <v>73</v>
      </c>
      <c r="C151" s="103">
        <v>8.2004999999999999</v>
      </c>
      <c r="D151" s="103">
        <v>7.7972999999999999</v>
      </c>
      <c r="E151" s="103">
        <v>7.3730999999999991</v>
      </c>
      <c r="F151" s="103">
        <v>6.9320999999999993</v>
      </c>
      <c r="G151" s="103">
        <v>16.927019999999999</v>
      </c>
      <c r="H151" s="103">
        <v>16.407900000000001</v>
      </c>
      <c r="I151" s="103">
        <v>15.876419999999998</v>
      </c>
      <c r="J151" s="103">
        <v>15.32846</v>
      </c>
    </row>
    <row r="152" spans="2:12" x14ac:dyDescent="0.25">
      <c r="B152" s="104" t="s">
        <v>74</v>
      </c>
      <c r="C152" s="103">
        <v>8.9815000000000005</v>
      </c>
      <c r="D152" s="103">
        <v>8.5399000000000012</v>
      </c>
      <c r="E152" s="103">
        <v>8.0753000000000004</v>
      </c>
      <c r="F152" s="103">
        <v>7.5922999999999989</v>
      </c>
      <c r="G152" s="103">
        <v>18.570420000000002</v>
      </c>
      <c r="H152" s="103">
        <v>18.000900000000001</v>
      </c>
      <c r="I152" s="103">
        <v>17.417819999999999</v>
      </c>
      <c r="J152" s="103">
        <v>16.816659999999999</v>
      </c>
    </row>
    <row r="154" spans="2:12" x14ac:dyDescent="0.25">
      <c r="B154" s="90" t="s">
        <v>310</v>
      </c>
      <c r="C154" s="499" t="s">
        <v>506</v>
      </c>
      <c r="D154" s="500"/>
      <c r="E154" s="500"/>
      <c r="F154" s="501"/>
      <c r="H154" s="90" t="s">
        <v>511</v>
      </c>
      <c r="I154" s="499" t="s">
        <v>506</v>
      </c>
      <c r="J154" s="500"/>
      <c r="K154" s="500"/>
      <c r="L154" s="501"/>
    </row>
    <row r="155" spans="2:12" x14ac:dyDescent="0.25">
      <c r="B155" s="212" t="s">
        <v>2</v>
      </c>
      <c r="C155" s="104" t="s">
        <v>484</v>
      </c>
      <c r="D155" s="104" t="s">
        <v>485</v>
      </c>
      <c r="E155" s="104" t="s">
        <v>486</v>
      </c>
      <c r="F155" s="104" t="s">
        <v>487</v>
      </c>
      <c r="H155" s="212" t="s">
        <v>2</v>
      </c>
      <c r="I155" s="104" t="s">
        <v>484</v>
      </c>
      <c r="J155" s="104" t="s">
        <v>485</v>
      </c>
      <c r="K155" s="104" t="s">
        <v>486</v>
      </c>
      <c r="L155" s="104" t="s">
        <v>487</v>
      </c>
    </row>
    <row r="156" spans="2:12" x14ac:dyDescent="0.25">
      <c r="B156" s="104" t="s">
        <v>69</v>
      </c>
      <c r="C156" s="88">
        <v>60</v>
      </c>
      <c r="D156" s="88">
        <v>60</v>
      </c>
      <c r="E156" s="87" t="s">
        <v>293</v>
      </c>
      <c r="F156" s="87" t="s">
        <v>293</v>
      </c>
      <c r="H156" s="104" t="s">
        <v>69</v>
      </c>
      <c r="I156" s="88">
        <v>45</v>
      </c>
      <c r="J156" s="88" t="s">
        <v>293</v>
      </c>
      <c r="K156" s="87" t="s">
        <v>293</v>
      </c>
      <c r="L156" s="87" t="s">
        <v>293</v>
      </c>
    </row>
    <row r="157" spans="2:12" x14ac:dyDescent="0.25">
      <c r="B157" s="104" t="s">
        <v>70</v>
      </c>
      <c r="C157" s="88">
        <v>67</v>
      </c>
      <c r="D157" s="88">
        <v>67</v>
      </c>
      <c r="E157" s="87" t="s">
        <v>293</v>
      </c>
      <c r="F157" s="87" t="s">
        <v>293</v>
      </c>
      <c r="H157" s="104" t="s">
        <v>70</v>
      </c>
      <c r="I157" s="88">
        <v>50</v>
      </c>
      <c r="J157" s="88" t="s">
        <v>293</v>
      </c>
      <c r="K157" s="87" t="s">
        <v>293</v>
      </c>
      <c r="L157" s="87" t="s">
        <v>293</v>
      </c>
    </row>
    <row r="158" spans="2:12" x14ac:dyDescent="0.25">
      <c r="B158" s="104" t="s">
        <v>71</v>
      </c>
      <c r="C158" s="88">
        <v>74</v>
      </c>
      <c r="D158" s="88">
        <v>74</v>
      </c>
      <c r="E158" s="87" t="s">
        <v>293</v>
      </c>
      <c r="F158" s="87" t="s">
        <v>293</v>
      </c>
      <c r="H158" s="104" t="s">
        <v>71</v>
      </c>
      <c r="I158" s="88">
        <v>56</v>
      </c>
      <c r="J158" s="88" t="s">
        <v>293</v>
      </c>
      <c r="K158" s="87" t="s">
        <v>293</v>
      </c>
      <c r="L158" s="87" t="s">
        <v>293</v>
      </c>
    </row>
    <row r="159" spans="2:12" x14ac:dyDescent="0.25">
      <c r="B159" s="104" t="s">
        <v>76</v>
      </c>
      <c r="C159" s="88">
        <v>77</v>
      </c>
      <c r="D159" s="88">
        <v>77</v>
      </c>
      <c r="E159" s="87" t="s">
        <v>293</v>
      </c>
      <c r="F159" s="87" t="s">
        <v>293</v>
      </c>
      <c r="H159" s="104" t="s">
        <v>76</v>
      </c>
      <c r="I159" s="88">
        <v>58</v>
      </c>
      <c r="J159" s="88" t="s">
        <v>293</v>
      </c>
      <c r="K159" s="87" t="s">
        <v>293</v>
      </c>
      <c r="L159" s="87" t="s">
        <v>293</v>
      </c>
    </row>
    <row r="160" spans="2:12" x14ac:dyDescent="0.25">
      <c r="B160" s="104" t="s">
        <v>72</v>
      </c>
      <c r="C160" s="88">
        <v>77</v>
      </c>
      <c r="D160" s="88">
        <v>77</v>
      </c>
      <c r="E160" s="87">
        <v>82</v>
      </c>
      <c r="F160" s="87">
        <v>82</v>
      </c>
      <c r="H160" s="104" t="s">
        <v>72</v>
      </c>
      <c r="I160" s="88">
        <v>58</v>
      </c>
      <c r="J160" s="88" t="s">
        <v>293</v>
      </c>
      <c r="K160" s="87">
        <v>61</v>
      </c>
      <c r="L160" s="87" t="s">
        <v>293</v>
      </c>
    </row>
    <row r="161" spans="2:16" x14ac:dyDescent="0.25">
      <c r="B161" s="104" t="s">
        <v>73</v>
      </c>
      <c r="C161" s="88">
        <v>77</v>
      </c>
      <c r="D161" s="88">
        <v>77</v>
      </c>
      <c r="E161" s="87">
        <v>89</v>
      </c>
      <c r="F161" s="87">
        <v>89</v>
      </c>
      <c r="H161" s="104" t="s">
        <v>73</v>
      </c>
      <c r="I161" s="88">
        <v>58</v>
      </c>
      <c r="J161" s="88" t="s">
        <v>293</v>
      </c>
      <c r="K161" s="87">
        <v>66</v>
      </c>
      <c r="L161" s="87" t="s">
        <v>293</v>
      </c>
    </row>
    <row r="162" spans="2:16" x14ac:dyDescent="0.25">
      <c r="B162" s="104" t="s">
        <v>74</v>
      </c>
      <c r="C162" s="88">
        <v>74</v>
      </c>
      <c r="D162" s="88">
        <v>74</v>
      </c>
      <c r="E162" s="87">
        <v>88</v>
      </c>
      <c r="F162" s="87">
        <v>88</v>
      </c>
      <c r="H162" s="104" t="s">
        <v>74</v>
      </c>
      <c r="I162" s="88">
        <v>56</v>
      </c>
      <c r="J162" s="88" t="s">
        <v>293</v>
      </c>
      <c r="K162" s="87">
        <v>66</v>
      </c>
      <c r="L162" s="87" t="s">
        <v>293</v>
      </c>
    </row>
    <row r="163" spans="2:16" x14ac:dyDescent="0.25">
      <c r="B163" s="104" t="s">
        <v>517</v>
      </c>
      <c r="C163" s="88">
        <v>74</v>
      </c>
      <c r="D163" s="88">
        <v>74</v>
      </c>
      <c r="E163" s="87">
        <v>95</v>
      </c>
      <c r="F163" s="87">
        <v>95</v>
      </c>
      <c r="H163" s="104" t="s">
        <v>517</v>
      </c>
      <c r="I163" s="88">
        <v>56</v>
      </c>
      <c r="J163" s="88" t="s">
        <v>293</v>
      </c>
      <c r="K163" s="87">
        <v>71</v>
      </c>
      <c r="L163" s="87" t="s">
        <v>293</v>
      </c>
    </row>
    <row r="164" spans="2:16" x14ac:dyDescent="0.25">
      <c r="B164" s="104" t="s">
        <v>518</v>
      </c>
      <c r="C164" s="88">
        <v>74</v>
      </c>
      <c r="D164" s="88">
        <v>74</v>
      </c>
      <c r="E164" s="87">
        <v>103</v>
      </c>
      <c r="F164" s="87">
        <v>103</v>
      </c>
      <c r="H164" s="104" t="s">
        <v>518</v>
      </c>
      <c r="I164" s="88">
        <v>56</v>
      </c>
      <c r="J164" s="88" t="s">
        <v>293</v>
      </c>
      <c r="K164" s="87">
        <v>71</v>
      </c>
      <c r="L164" s="87" t="s">
        <v>293</v>
      </c>
    </row>
    <row r="166" spans="2:16" x14ac:dyDescent="0.25">
      <c r="B166" s="90" t="s">
        <v>291</v>
      </c>
      <c r="C166" s="498" t="s">
        <v>507</v>
      </c>
      <c r="D166" s="498"/>
      <c r="F166" s="90" t="s">
        <v>291</v>
      </c>
      <c r="G166" s="498" t="s">
        <v>508</v>
      </c>
      <c r="H166" s="498"/>
      <c r="J166" s="90" t="s">
        <v>313</v>
      </c>
      <c r="K166" s="498" t="s">
        <v>508</v>
      </c>
      <c r="L166" s="498"/>
      <c r="N166" s="90" t="s">
        <v>509</v>
      </c>
      <c r="O166" s="498" t="s">
        <v>508</v>
      </c>
      <c r="P166" s="498"/>
    </row>
    <row r="167" spans="2:16" x14ac:dyDescent="0.25">
      <c r="B167" s="212" t="s">
        <v>2</v>
      </c>
      <c r="C167" s="111">
        <v>60</v>
      </c>
      <c r="D167" s="111">
        <v>80</v>
      </c>
      <c r="F167" s="212" t="s">
        <v>2</v>
      </c>
      <c r="G167" s="111">
        <v>60</v>
      </c>
      <c r="H167" s="111">
        <v>80</v>
      </c>
      <c r="J167" s="212" t="s">
        <v>2</v>
      </c>
      <c r="K167" s="111">
        <v>60</v>
      </c>
      <c r="L167" s="111">
        <v>80</v>
      </c>
      <c r="N167" s="212" t="s">
        <v>2</v>
      </c>
      <c r="O167" s="111">
        <v>60</v>
      </c>
      <c r="P167" s="111">
        <v>80</v>
      </c>
    </row>
    <row r="168" spans="2:16" x14ac:dyDescent="0.25">
      <c r="B168" s="104" t="s">
        <v>69</v>
      </c>
      <c r="C168" s="88">
        <v>94</v>
      </c>
      <c r="D168" s="88">
        <v>91</v>
      </c>
      <c r="F168" s="104" t="s">
        <v>69</v>
      </c>
      <c r="G168" s="88">
        <v>392</v>
      </c>
      <c r="H168" s="88">
        <v>383</v>
      </c>
      <c r="J168" s="104" t="s">
        <v>69</v>
      </c>
      <c r="K168" s="88">
        <v>25</v>
      </c>
      <c r="L168" s="88">
        <v>24</v>
      </c>
      <c r="N168" s="104" t="s">
        <v>69</v>
      </c>
      <c r="O168" s="88">
        <v>2050</v>
      </c>
      <c r="P168" s="88">
        <v>1950</v>
      </c>
    </row>
    <row r="169" spans="2:16" x14ac:dyDescent="0.25">
      <c r="B169" s="104" t="s">
        <v>70</v>
      </c>
      <c r="C169" s="88">
        <v>94</v>
      </c>
      <c r="D169" s="88">
        <v>91</v>
      </c>
      <c r="F169" s="104" t="s">
        <v>70</v>
      </c>
      <c r="G169" s="88">
        <v>392</v>
      </c>
      <c r="H169" s="88">
        <v>383</v>
      </c>
      <c r="J169" s="104" t="s">
        <v>70</v>
      </c>
      <c r="K169" s="88">
        <v>28</v>
      </c>
      <c r="L169" s="88">
        <v>28</v>
      </c>
      <c r="N169" s="104" t="s">
        <v>70</v>
      </c>
      <c r="O169" s="88">
        <v>2750</v>
      </c>
      <c r="P169" s="88">
        <v>2600</v>
      </c>
    </row>
    <row r="170" spans="2:16" x14ac:dyDescent="0.25">
      <c r="B170" s="104" t="s">
        <v>71</v>
      </c>
      <c r="C170" s="88">
        <v>94</v>
      </c>
      <c r="D170" s="88">
        <v>91</v>
      </c>
      <c r="F170" s="104" t="s">
        <v>71</v>
      </c>
      <c r="G170" s="88">
        <v>392</v>
      </c>
      <c r="H170" s="88">
        <v>383</v>
      </c>
      <c r="J170" s="104" t="s">
        <v>71</v>
      </c>
      <c r="K170" s="88">
        <v>32</v>
      </c>
      <c r="L170" s="88">
        <v>32</v>
      </c>
      <c r="N170" s="104" t="s">
        <v>71</v>
      </c>
      <c r="O170" s="88">
        <v>3550</v>
      </c>
      <c r="P170" s="88">
        <v>3350</v>
      </c>
    </row>
    <row r="171" spans="2:16" x14ac:dyDescent="0.25">
      <c r="B171" s="104" t="s">
        <v>76</v>
      </c>
      <c r="C171" s="88">
        <v>94</v>
      </c>
      <c r="D171" s="88">
        <v>91</v>
      </c>
      <c r="F171" s="104" t="s">
        <v>76</v>
      </c>
      <c r="G171" s="88">
        <v>392</v>
      </c>
      <c r="H171" s="88">
        <v>383</v>
      </c>
      <c r="J171" s="104" t="s">
        <v>76</v>
      </c>
      <c r="K171" s="88">
        <v>34</v>
      </c>
      <c r="L171" s="88">
        <v>34</v>
      </c>
      <c r="N171" s="104" t="s">
        <v>76</v>
      </c>
      <c r="O171" s="88">
        <v>3950</v>
      </c>
      <c r="P171" s="88">
        <v>3750</v>
      </c>
    </row>
    <row r="172" spans="2:16" x14ac:dyDescent="0.25">
      <c r="B172" s="104" t="s">
        <v>72</v>
      </c>
      <c r="C172" s="88">
        <v>94</v>
      </c>
      <c r="D172" s="88">
        <v>91</v>
      </c>
      <c r="F172" s="104" t="s">
        <v>72</v>
      </c>
      <c r="G172" s="88">
        <v>392</v>
      </c>
      <c r="H172" s="88">
        <v>383</v>
      </c>
      <c r="J172" s="104" t="s">
        <v>72</v>
      </c>
      <c r="K172" s="88">
        <v>36</v>
      </c>
      <c r="L172" s="88">
        <v>36</v>
      </c>
      <c r="N172" s="104" t="s">
        <v>72</v>
      </c>
      <c r="O172" s="88">
        <v>4450</v>
      </c>
      <c r="P172" s="88">
        <v>4500</v>
      </c>
    </row>
    <row r="173" spans="2:16" x14ac:dyDescent="0.25">
      <c r="B173" s="104" t="s">
        <v>73</v>
      </c>
      <c r="C173" s="88">
        <v>94</v>
      </c>
      <c r="D173" s="88">
        <v>91</v>
      </c>
      <c r="F173" s="104" t="s">
        <v>73</v>
      </c>
      <c r="G173" s="88">
        <v>392</v>
      </c>
      <c r="H173" s="88">
        <v>383</v>
      </c>
      <c r="J173" s="104" t="s">
        <v>73</v>
      </c>
      <c r="K173" s="88">
        <v>40</v>
      </c>
      <c r="L173" s="88">
        <v>39</v>
      </c>
      <c r="N173" s="104" t="s">
        <v>73</v>
      </c>
      <c r="O173" s="88">
        <v>5450</v>
      </c>
      <c r="P173" s="88">
        <v>5150</v>
      </c>
    </row>
    <row r="174" spans="2:16" x14ac:dyDescent="0.25">
      <c r="B174" s="104" t="s">
        <v>74</v>
      </c>
      <c r="C174" s="88">
        <v>94</v>
      </c>
      <c r="D174" s="88">
        <v>91</v>
      </c>
      <c r="F174" s="104" t="s">
        <v>74</v>
      </c>
      <c r="G174" s="88">
        <v>392</v>
      </c>
      <c r="H174" s="88">
        <v>383</v>
      </c>
      <c r="J174" s="104" t="s">
        <v>74</v>
      </c>
      <c r="K174" s="88">
        <v>44</v>
      </c>
      <c r="L174" s="88">
        <v>43</v>
      </c>
      <c r="N174" s="104" t="s">
        <v>74</v>
      </c>
      <c r="O174" s="88">
        <v>6550</v>
      </c>
      <c r="P174" s="88">
        <v>6200</v>
      </c>
    </row>
    <row r="175" spans="2:16" x14ac:dyDescent="0.25">
      <c r="B175" s="104" t="s">
        <v>517</v>
      </c>
      <c r="C175" s="88">
        <v>94</v>
      </c>
      <c r="D175" s="88">
        <v>91</v>
      </c>
      <c r="F175" s="104" t="s">
        <v>517</v>
      </c>
      <c r="G175" s="88">
        <v>392</v>
      </c>
      <c r="H175" s="88">
        <v>383</v>
      </c>
      <c r="J175" s="104" t="s">
        <v>517</v>
      </c>
      <c r="K175" s="88">
        <v>48</v>
      </c>
      <c r="L175" s="88">
        <v>47</v>
      </c>
      <c r="N175" s="104" t="s">
        <v>517</v>
      </c>
      <c r="O175" s="88">
        <v>7750</v>
      </c>
      <c r="P175" s="88">
        <v>7350</v>
      </c>
    </row>
    <row r="176" spans="2:16" x14ac:dyDescent="0.25">
      <c r="B176" s="104" t="s">
        <v>518</v>
      </c>
      <c r="C176" s="88">
        <v>94</v>
      </c>
      <c r="D176" s="88">
        <v>91</v>
      </c>
      <c r="F176" s="104" t="s">
        <v>518</v>
      </c>
      <c r="G176" s="88">
        <v>392</v>
      </c>
      <c r="H176" s="88">
        <v>383</v>
      </c>
      <c r="J176" s="104" t="s">
        <v>518</v>
      </c>
      <c r="K176" s="88">
        <v>54</v>
      </c>
      <c r="L176" s="88">
        <v>53</v>
      </c>
      <c r="N176" s="104" t="s">
        <v>518</v>
      </c>
      <c r="O176" s="88">
        <v>9750</v>
      </c>
      <c r="P176" s="88">
        <v>9250</v>
      </c>
    </row>
  </sheetData>
  <sheetProtection password="C1ED" sheet="1" objects="1" scenarios="1" selectLockedCells="1"/>
  <mergeCells count="22">
    <mergeCell ref="C99:V99"/>
    <mergeCell ref="C24:F24"/>
    <mergeCell ref="C29:F29"/>
    <mergeCell ref="C41:F41"/>
    <mergeCell ref="C2:H2"/>
    <mergeCell ref="C12:F12"/>
    <mergeCell ref="I41:L41"/>
    <mergeCell ref="C53:J53"/>
    <mergeCell ref="C65:J65"/>
    <mergeCell ref="C76:J76"/>
    <mergeCell ref="C88:J88"/>
    <mergeCell ref="C120:F120"/>
    <mergeCell ref="C132:J132"/>
    <mergeCell ref="C143:J143"/>
    <mergeCell ref="C111:D111"/>
    <mergeCell ref="G111:J111"/>
    <mergeCell ref="K166:L166"/>
    <mergeCell ref="O166:P166"/>
    <mergeCell ref="I154:L154"/>
    <mergeCell ref="C154:F154"/>
    <mergeCell ref="C166:D166"/>
    <mergeCell ref="G166:H166"/>
  </mergeCell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95"/>
  <sheetViews>
    <sheetView topLeftCell="A43" zoomScaleNormal="100" workbookViewId="0">
      <selection activeCell="C80" sqref="C80"/>
    </sheetView>
  </sheetViews>
  <sheetFormatPr baseColWidth="10" defaultRowHeight="15" x14ac:dyDescent="0.25"/>
  <cols>
    <col min="1" max="1" width="5.85546875" customWidth="1"/>
    <col min="2" max="2" width="17.42578125" bestFit="1" customWidth="1"/>
    <col min="3" max="3" width="16.5703125" bestFit="1" customWidth="1"/>
    <col min="4" max="4" width="16.5703125" customWidth="1"/>
    <col min="5" max="5" width="10.85546875" bestFit="1" customWidth="1"/>
  </cols>
  <sheetData>
    <row r="2" spans="2:6" x14ac:dyDescent="0.25">
      <c r="B2" s="90" t="s">
        <v>368</v>
      </c>
      <c r="C2" s="135"/>
    </row>
    <row r="3" spans="2:6" x14ac:dyDescent="0.25">
      <c r="B3" s="96">
        <v>1</v>
      </c>
      <c r="C3" s="96">
        <v>2</v>
      </c>
    </row>
    <row r="4" spans="2:6" x14ac:dyDescent="0.25">
      <c r="B4" s="91" t="s">
        <v>5</v>
      </c>
      <c r="C4" s="79">
        <v>3.5000000000000003E-2</v>
      </c>
    </row>
    <row r="5" spans="2:6" x14ac:dyDescent="0.25">
      <c r="B5" s="91" t="s">
        <v>4</v>
      </c>
      <c r="C5" s="145">
        <v>0.04</v>
      </c>
    </row>
    <row r="6" spans="2:6" x14ac:dyDescent="0.25">
      <c r="B6" s="91" t="s">
        <v>129</v>
      </c>
      <c r="C6" s="79">
        <v>4.1000000000000002E-2</v>
      </c>
    </row>
    <row r="7" spans="2:6" x14ac:dyDescent="0.25">
      <c r="B7" s="91" t="s">
        <v>30</v>
      </c>
      <c r="C7" s="79">
        <v>2.1999999999999999E-2</v>
      </c>
    </row>
    <row r="8" spans="2:6" x14ac:dyDescent="0.25">
      <c r="B8" s="91" t="s">
        <v>367</v>
      </c>
      <c r="C8" s="79">
        <v>0.17499999999999999</v>
      </c>
    </row>
    <row r="11" spans="2:6" x14ac:dyDescent="0.25">
      <c r="B11" s="135" t="s">
        <v>375</v>
      </c>
      <c r="C11" s="135" t="s">
        <v>383</v>
      </c>
      <c r="D11" s="135" t="s">
        <v>377</v>
      </c>
      <c r="E11" s="135" t="s">
        <v>382</v>
      </c>
      <c r="F11" s="135" t="s">
        <v>368</v>
      </c>
    </row>
    <row r="12" spans="2:6" x14ac:dyDescent="0.25">
      <c r="B12" s="135">
        <v>1</v>
      </c>
      <c r="C12" s="78">
        <v>2</v>
      </c>
      <c r="D12" s="78">
        <v>3</v>
      </c>
      <c r="E12" s="78">
        <v>4</v>
      </c>
      <c r="F12" s="78">
        <v>5</v>
      </c>
    </row>
    <row r="13" spans="2:6" x14ac:dyDescent="0.25">
      <c r="B13" s="91" t="s">
        <v>33</v>
      </c>
      <c r="C13" s="149" t="s">
        <v>378</v>
      </c>
      <c r="D13" s="146" t="s">
        <v>380</v>
      </c>
      <c r="E13" s="148">
        <v>60</v>
      </c>
      <c r="F13" s="148">
        <v>15</v>
      </c>
    </row>
    <row r="14" spans="2:6" x14ac:dyDescent="0.25">
      <c r="B14" s="91" t="s">
        <v>34</v>
      </c>
      <c r="C14" s="149" t="s">
        <v>378</v>
      </c>
      <c r="D14" s="146" t="s">
        <v>380</v>
      </c>
      <c r="E14" s="148">
        <v>80</v>
      </c>
      <c r="F14" s="148">
        <v>15</v>
      </c>
    </row>
    <row r="15" spans="2:6" x14ac:dyDescent="0.25">
      <c r="B15" s="91" t="s">
        <v>35</v>
      </c>
      <c r="C15" s="148" t="s">
        <v>379</v>
      </c>
      <c r="D15" s="146" t="s">
        <v>380</v>
      </c>
      <c r="E15" s="148">
        <v>60</v>
      </c>
      <c r="F15" s="148">
        <v>15</v>
      </c>
    </row>
    <row r="16" spans="2:6" x14ac:dyDescent="0.25">
      <c r="B16" s="91" t="s">
        <v>36</v>
      </c>
      <c r="C16" s="150" t="s">
        <v>378</v>
      </c>
      <c r="D16" s="146" t="s">
        <v>380</v>
      </c>
      <c r="E16" s="147">
        <v>60</v>
      </c>
      <c r="F16" s="148">
        <v>60</v>
      </c>
    </row>
    <row r="17" spans="2:6" x14ac:dyDescent="0.25">
      <c r="B17" s="91" t="s">
        <v>37</v>
      </c>
      <c r="C17" s="150" t="s">
        <v>378</v>
      </c>
      <c r="D17" s="146" t="s">
        <v>380</v>
      </c>
      <c r="E17" s="147">
        <v>80</v>
      </c>
      <c r="F17" s="147">
        <v>60</v>
      </c>
    </row>
    <row r="18" spans="2:6" x14ac:dyDescent="0.25">
      <c r="B18" s="91" t="s">
        <v>38</v>
      </c>
      <c r="C18" s="148" t="s">
        <v>379</v>
      </c>
      <c r="D18" s="148" t="s">
        <v>380</v>
      </c>
      <c r="E18" s="147">
        <v>60</v>
      </c>
      <c r="F18" s="147">
        <v>15</v>
      </c>
    </row>
    <row r="19" spans="2:6" x14ac:dyDescent="0.25">
      <c r="B19" s="91" t="s">
        <v>39</v>
      </c>
      <c r="C19" s="148" t="s">
        <v>379</v>
      </c>
      <c r="D19" s="148" t="s">
        <v>381</v>
      </c>
      <c r="E19" s="147" t="s">
        <v>293</v>
      </c>
      <c r="F19" s="148">
        <v>15</v>
      </c>
    </row>
    <row r="20" spans="2:6" x14ac:dyDescent="0.25">
      <c r="B20" s="91" t="s">
        <v>40</v>
      </c>
      <c r="C20" s="148" t="s">
        <v>379</v>
      </c>
      <c r="D20" s="148" t="s">
        <v>380</v>
      </c>
      <c r="E20" s="147">
        <v>60</v>
      </c>
      <c r="F20" s="148">
        <v>15</v>
      </c>
    </row>
    <row r="21" spans="2:6" x14ac:dyDescent="0.25">
      <c r="B21" s="91" t="s">
        <v>41</v>
      </c>
      <c r="C21" s="148" t="s">
        <v>379</v>
      </c>
      <c r="D21" s="148" t="s">
        <v>380</v>
      </c>
      <c r="E21" s="147" t="s">
        <v>293</v>
      </c>
      <c r="F21" s="148">
        <v>15</v>
      </c>
    </row>
    <row r="22" spans="2:6" x14ac:dyDescent="0.25">
      <c r="B22" s="91" t="s">
        <v>42</v>
      </c>
      <c r="C22" s="148" t="s">
        <v>379</v>
      </c>
      <c r="D22" s="148" t="s">
        <v>380</v>
      </c>
      <c r="E22" s="147">
        <v>60</v>
      </c>
      <c r="F22" s="148" t="s">
        <v>293</v>
      </c>
    </row>
    <row r="23" spans="2:6" x14ac:dyDescent="0.25">
      <c r="B23" s="91" t="s">
        <v>43</v>
      </c>
      <c r="C23" s="148" t="s">
        <v>379</v>
      </c>
      <c r="D23" s="148" t="s">
        <v>380</v>
      </c>
      <c r="E23" s="147">
        <v>80</v>
      </c>
      <c r="F23" s="148" t="s">
        <v>293</v>
      </c>
    </row>
    <row r="24" spans="2:6" x14ac:dyDescent="0.25">
      <c r="B24" s="91" t="s">
        <v>44</v>
      </c>
      <c r="C24" s="148" t="s">
        <v>379</v>
      </c>
      <c r="D24" s="148" t="s">
        <v>380</v>
      </c>
      <c r="E24" s="147" t="s">
        <v>293</v>
      </c>
      <c r="F24" s="148">
        <v>15</v>
      </c>
    </row>
    <row r="25" spans="2:6" x14ac:dyDescent="0.25">
      <c r="B25" s="91" t="s">
        <v>45</v>
      </c>
      <c r="C25" s="150" t="s">
        <v>378</v>
      </c>
      <c r="D25" s="148" t="s">
        <v>381</v>
      </c>
      <c r="E25" s="147" t="s">
        <v>293</v>
      </c>
      <c r="F25" s="148">
        <v>15</v>
      </c>
    </row>
    <row r="26" spans="2:6" x14ac:dyDescent="0.25">
      <c r="B26" s="91" t="s">
        <v>46</v>
      </c>
      <c r="C26" s="148" t="s">
        <v>379</v>
      </c>
      <c r="D26" s="148" t="s">
        <v>381</v>
      </c>
      <c r="E26" s="147" t="s">
        <v>293</v>
      </c>
      <c r="F26" s="148">
        <v>15</v>
      </c>
    </row>
    <row r="27" spans="2:6" x14ac:dyDescent="0.25">
      <c r="B27" s="213" t="s">
        <v>47</v>
      </c>
      <c r="C27" s="148" t="s">
        <v>379</v>
      </c>
      <c r="D27" s="148" t="s">
        <v>380</v>
      </c>
      <c r="E27" s="147" t="s">
        <v>293</v>
      </c>
      <c r="F27" s="148">
        <v>15</v>
      </c>
    </row>
    <row r="28" spans="2:6" x14ac:dyDescent="0.25">
      <c r="B28" s="213" t="s">
        <v>475</v>
      </c>
      <c r="C28" s="148" t="s">
        <v>379</v>
      </c>
      <c r="D28" s="148" t="s">
        <v>488</v>
      </c>
      <c r="E28" s="147" t="s">
        <v>293</v>
      </c>
      <c r="F28" s="148">
        <v>15</v>
      </c>
    </row>
    <row r="29" spans="2:6" x14ac:dyDescent="0.25">
      <c r="B29" s="91" t="s">
        <v>476</v>
      </c>
      <c r="C29" s="148" t="s">
        <v>379</v>
      </c>
      <c r="D29" s="148" t="s">
        <v>488</v>
      </c>
      <c r="E29" s="147" t="s">
        <v>293</v>
      </c>
      <c r="F29" s="148">
        <v>15</v>
      </c>
    </row>
    <row r="31" spans="2:6" x14ac:dyDescent="0.25">
      <c r="B31" s="505" t="s">
        <v>385</v>
      </c>
      <c r="C31" s="505"/>
      <c r="D31" s="505"/>
      <c r="E31" s="505"/>
      <c r="F31" s="505"/>
    </row>
    <row r="32" spans="2:6" x14ac:dyDescent="0.25">
      <c r="B32" s="135" t="s">
        <v>0</v>
      </c>
      <c r="C32" s="104">
        <v>60</v>
      </c>
      <c r="D32" s="104">
        <v>80</v>
      </c>
      <c r="E32" s="104">
        <v>100</v>
      </c>
      <c r="F32" s="104">
        <v>120</v>
      </c>
    </row>
    <row r="33" spans="2:6" x14ac:dyDescent="0.25">
      <c r="B33" s="104" t="s">
        <v>66</v>
      </c>
      <c r="C33" s="151">
        <v>1.4361999999999999</v>
      </c>
      <c r="D33" s="151">
        <v>1.4361999999999999</v>
      </c>
      <c r="E33" s="151">
        <v>1.4361999999999999</v>
      </c>
      <c r="F33" s="151">
        <v>1.4361999999999999</v>
      </c>
    </row>
    <row r="34" spans="2:6" x14ac:dyDescent="0.25">
      <c r="B34" s="104" t="s">
        <v>67</v>
      </c>
      <c r="C34" s="151">
        <v>1.4361999999999999</v>
      </c>
      <c r="D34" s="151">
        <v>1.4361999999999999</v>
      </c>
      <c r="E34" s="151">
        <v>1.4361999999999999</v>
      </c>
      <c r="F34" s="151">
        <v>1.4361999999999999</v>
      </c>
    </row>
    <row r="35" spans="2:6" x14ac:dyDescent="0.25">
      <c r="B35" s="104" t="s">
        <v>68</v>
      </c>
      <c r="C35" s="151">
        <v>1.4361999999999999</v>
      </c>
      <c r="D35" s="151" t="s">
        <v>384</v>
      </c>
      <c r="E35" s="151" t="s">
        <v>384</v>
      </c>
      <c r="F35" s="151" t="s">
        <v>384</v>
      </c>
    </row>
    <row r="36" spans="2:6" x14ac:dyDescent="0.25">
      <c r="B36" s="104" t="s">
        <v>69</v>
      </c>
      <c r="C36" s="151">
        <v>1.4361999999999999</v>
      </c>
      <c r="D36" s="151" t="s">
        <v>384</v>
      </c>
      <c r="E36" s="151" t="s">
        <v>384</v>
      </c>
      <c r="F36" s="151" t="s">
        <v>384</v>
      </c>
    </row>
    <row r="37" spans="2:6" x14ac:dyDescent="0.25">
      <c r="B37" s="104" t="s">
        <v>70</v>
      </c>
      <c r="C37" s="151">
        <v>1.4361999999999999</v>
      </c>
      <c r="D37" s="151" t="s">
        <v>384</v>
      </c>
      <c r="E37" s="151" t="s">
        <v>384</v>
      </c>
      <c r="F37" s="151" t="s">
        <v>384</v>
      </c>
    </row>
    <row r="38" spans="2:6" x14ac:dyDescent="0.25">
      <c r="B38" s="104" t="s">
        <v>71</v>
      </c>
      <c r="C38" s="151">
        <v>1.4361999999999999</v>
      </c>
      <c r="D38" s="151" t="s">
        <v>384</v>
      </c>
      <c r="E38" s="151" t="s">
        <v>384</v>
      </c>
      <c r="F38" s="151" t="s">
        <v>384</v>
      </c>
    </row>
    <row r="39" spans="2:6" x14ac:dyDescent="0.25">
      <c r="B39" s="104" t="s">
        <v>72</v>
      </c>
      <c r="C39" s="151">
        <v>1.4361999999999999</v>
      </c>
      <c r="D39" s="151" t="s">
        <v>384</v>
      </c>
      <c r="E39" s="151" t="s">
        <v>384</v>
      </c>
      <c r="F39" s="151" t="s">
        <v>384</v>
      </c>
    </row>
    <row r="40" spans="2:6" x14ac:dyDescent="0.25">
      <c r="B40" s="104" t="s">
        <v>73</v>
      </c>
      <c r="C40" s="151">
        <v>1.4361999999999999</v>
      </c>
      <c r="D40" s="151" t="s">
        <v>384</v>
      </c>
      <c r="E40" s="151" t="s">
        <v>384</v>
      </c>
      <c r="F40" s="151" t="s">
        <v>384</v>
      </c>
    </row>
    <row r="41" spans="2:6" x14ac:dyDescent="0.25">
      <c r="B41" s="104" t="s">
        <v>74</v>
      </c>
      <c r="C41" s="151">
        <v>1.4361999999999999</v>
      </c>
      <c r="D41" s="151" t="s">
        <v>384</v>
      </c>
      <c r="E41" s="151" t="s">
        <v>384</v>
      </c>
      <c r="F41" s="151" t="s">
        <v>384</v>
      </c>
    </row>
    <row r="43" spans="2:6" x14ac:dyDescent="0.25">
      <c r="B43" s="505" t="s">
        <v>386</v>
      </c>
      <c r="C43" s="505"/>
      <c r="D43" s="505"/>
      <c r="E43" s="505"/>
      <c r="F43" s="505"/>
    </row>
    <row r="44" spans="2:6" x14ac:dyDescent="0.25">
      <c r="B44" s="135" t="s">
        <v>0</v>
      </c>
      <c r="C44" s="135">
        <v>60</v>
      </c>
      <c r="D44" s="135">
        <v>80</v>
      </c>
      <c r="E44" s="135">
        <v>100</v>
      </c>
      <c r="F44" s="135">
        <v>120</v>
      </c>
    </row>
    <row r="45" spans="2:6" x14ac:dyDescent="0.25">
      <c r="B45" s="104" t="s">
        <v>66</v>
      </c>
      <c r="C45" s="151">
        <v>1.4403999999999999</v>
      </c>
      <c r="D45" s="151">
        <v>1.4403999999999999</v>
      </c>
      <c r="E45" s="151">
        <v>1.4403999999999999</v>
      </c>
      <c r="F45" s="151">
        <v>1.4403999999999999</v>
      </c>
    </row>
    <row r="46" spans="2:6" x14ac:dyDescent="0.25">
      <c r="B46" s="104" t="s">
        <v>67</v>
      </c>
      <c r="C46" s="151">
        <v>1.4403999999999999</v>
      </c>
      <c r="D46" s="151">
        <v>1.4403999999999999</v>
      </c>
      <c r="E46" s="151">
        <v>1.4403999999999999</v>
      </c>
      <c r="F46" s="151">
        <v>1.4403999999999999</v>
      </c>
    </row>
    <row r="47" spans="2:6" x14ac:dyDescent="0.25">
      <c r="B47" s="104" t="s">
        <v>68</v>
      </c>
      <c r="C47" s="151">
        <v>1.4403999999999999</v>
      </c>
      <c r="D47" s="151" t="s">
        <v>384</v>
      </c>
      <c r="E47" s="151" t="s">
        <v>384</v>
      </c>
      <c r="F47" s="151" t="s">
        <v>384</v>
      </c>
    </row>
    <row r="48" spans="2:6" x14ac:dyDescent="0.25">
      <c r="B48" s="104" t="s">
        <v>69</v>
      </c>
      <c r="C48" s="151">
        <v>1.4403999999999999</v>
      </c>
      <c r="D48" s="151" t="s">
        <v>384</v>
      </c>
      <c r="E48" s="151" t="s">
        <v>384</v>
      </c>
      <c r="F48" s="151" t="s">
        <v>384</v>
      </c>
    </row>
    <row r="49" spans="2:6" x14ac:dyDescent="0.25">
      <c r="B49" s="104" t="s">
        <v>70</v>
      </c>
      <c r="C49" s="151">
        <v>1.4403999999999999</v>
      </c>
      <c r="D49" s="151" t="s">
        <v>384</v>
      </c>
      <c r="E49" s="151" t="s">
        <v>384</v>
      </c>
      <c r="F49" s="151" t="s">
        <v>384</v>
      </c>
    </row>
    <row r="50" spans="2:6" x14ac:dyDescent="0.25">
      <c r="B50" s="104" t="s">
        <v>71</v>
      </c>
      <c r="C50" s="151">
        <v>1.4403999999999999</v>
      </c>
      <c r="D50" s="151" t="s">
        <v>384</v>
      </c>
      <c r="E50" s="151" t="s">
        <v>384</v>
      </c>
      <c r="F50" s="151" t="s">
        <v>384</v>
      </c>
    </row>
    <row r="51" spans="2:6" x14ac:dyDescent="0.25">
      <c r="B51" s="104" t="s">
        <v>72</v>
      </c>
      <c r="C51" s="151">
        <v>1.4403999999999999</v>
      </c>
      <c r="D51" s="151" t="s">
        <v>384</v>
      </c>
      <c r="E51" s="151" t="s">
        <v>384</v>
      </c>
      <c r="F51" s="151" t="s">
        <v>384</v>
      </c>
    </row>
    <row r="52" spans="2:6" x14ac:dyDescent="0.25">
      <c r="B52" s="104" t="s">
        <v>73</v>
      </c>
      <c r="C52" s="151">
        <v>1.4403999999999999</v>
      </c>
      <c r="D52" s="151" t="s">
        <v>384</v>
      </c>
      <c r="E52" s="151" t="s">
        <v>384</v>
      </c>
      <c r="F52" s="151" t="s">
        <v>384</v>
      </c>
    </row>
    <row r="53" spans="2:6" x14ac:dyDescent="0.25">
      <c r="B53" s="104" t="s">
        <v>74</v>
      </c>
      <c r="C53" s="151">
        <v>1.4403999999999999</v>
      </c>
      <c r="D53" s="151" t="s">
        <v>384</v>
      </c>
      <c r="E53" s="151" t="s">
        <v>384</v>
      </c>
      <c r="F53" s="151" t="s">
        <v>384</v>
      </c>
    </row>
    <row r="55" spans="2:6" x14ac:dyDescent="0.25">
      <c r="B55" s="503" t="s">
        <v>387</v>
      </c>
      <c r="C55" s="503"/>
      <c r="D55" s="503"/>
    </row>
    <row r="56" spans="2:6" x14ac:dyDescent="0.25">
      <c r="B56" s="179"/>
      <c r="C56" s="152" t="s">
        <v>389</v>
      </c>
      <c r="D56" s="152" t="s">
        <v>388</v>
      </c>
    </row>
    <row r="57" spans="2:6" x14ac:dyDescent="0.25">
      <c r="B57" s="179">
        <v>1</v>
      </c>
      <c r="C57" s="152">
        <v>2</v>
      </c>
      <c r="D57" s="152">
        <v>3</v>
      </c>
    </row>
    <row r="58" spans="2:6" x14ac:dyDescent="0.25">
      <c r="B58" s="179">
        <v>1.4361999999999999</v>
      </c>
      <c r="C58" s="78">
        <v>15</v>
      </c>
      <c r="D58" s="154">
        <f>PI()*(16/2)^2</f>
        <v>201.06192982974676</v>
      </c>
    </row>
    <row r="59" spans="2:6" x14ac:dyDescent="0.25">
      <c r="B59" s="179">
        <v>1.4403999999999999</v>
      </c>
      <c r="C59" s="78">
        <v>15</v>
      </c>
      <c r="D59" s="154">
        <f>PI()*(15/2)^2</f>
        <v>176.71458676442586</v>
      </c>
    </row>
    <row r="60" spans="2:6" x14ac:dyDescent="0.25">
      <c r="B60" s="179" t="s">
        <v>384</v>
      </c>
      <c r="C60" s="78">
        <v>2.1</v>
      </c>
      <c r="D60" s="78">
        <f>43*26</f>
        <v>1118</v>
      </c>
    </row>
    <row r="62" spans="2:6" x14ac:dyDescent="0.25">
      <c r="B62" s="503" t="s">
        <v>403</v>
      </c>
      <c r="C62" s="503"/>
      <c r="D62" s="503"/>
    </row>
    <row r="63" spans="2:6" x14ac:dyDescent="0.25">
      <c r="B63" s="135"/>
      <c r="C63" s="152" t="s">
        <v>404</v>
      </c>
      <c r="D63" s="152" t="s">
        <v>406</v>
      </c>
    </row>
    <row r="64" spans="2:6" x14ac:dyDescent="0.25">
      <c r="B64" s="135">
        <v>1</v>
      </c>
      <c r="C64" s="152">
        <v>2</v>
      </c>
      <c r="D64" s="152">
        <v>3</v>
      </c>
    </row>
    <row r="65" spans="2:14" x14ac:dyDescent="0.25">
      <c r="B65" s="153" t="s">
        <v>22</v>
      </c>
      <c r="C65" s="78">
        <v>0.5</v>
      </c>
      <c r="D65" s="78" t="s">
        <v>293</v>
      </c>
    </row>
    <row r="66" spans="2:14" x14ac:dyDescent="0.25">
      <c r="B66" s="91" t="s">
        <v>275</v>
      </c>
      <c r="C66" s="78">
        <v>1</v>
      </c>
      <c r="D66" s="78" t="s">
        <v>293</v>
      </c>
      <c r="L66" s="182"/>
      <c r="M66" s="183"/>
      <c r="N66" s="183"/>
    </row>
    <row r="67" spans="2:14" x14ac:dyDescent="0.25">
      <c r="B67" s="91" t="s">
        <v>14</v>
      </c>
      <c r="C67" s="78" t="s">
        <v>293</v>
      </c>
      <c r="D67" s="78">
        <v>1</v>
      </c>
      <c r="L67" s="182"/>
      <c r="M67" s="185"/>
      <c r="N67" s="183"/>
    </row>
    <row r="68" spans="2:14" x14ac:dyDescent="0.25">
      <c r="B68" s="91" t="s">
        <v>15</v>
      </c>
      <c r="C68" s="78" t="s">
        <v>293</v>
      </c>
      <c r="D68" s="78">
        <v>2</v>
      </c>
      <c r="L68" s="182"/>
      <c r="M68" s="185"/>
      <c r="N68" s="183"/>
    </row>
    <row r="69" spans="2:14" x14ac:dyDescent="0.25">
      <c r="B69" s="91" t="s">
        <v>16</v>
      </c>
      <c r="C69" s="78" t="s">
        <v>293</v>
      </c>
      <c r="D69" s="78">
        <v>4</v>
      </c>
      <c r="L69" s="182"/>
      <c r="M69" s="186"/>
      <c r="N69" s="187"/>
    </row>
    <row r="70" spans="2:14" x14ac:dyDescent="0.25">
      <c r="B70" s="91" t="s">
        <v>17</v>
      </c>
      <c r="C70" s="78" t="s">
        <v>293</v>
      </c>
      <c r="D70" s="78">
        <v>4</v>
      </c>
      <c r="L70" s="182"/>
      <c r="M70" s="184"/>
      <c r="N70" s="183"/>
    </row>
    <row r="71" spans="2:14" x14ac:dyDescent="0.25">
      <c r="B71" s="91" t="s">
        <v>18</v>
      </c>
      <c r="C71" s="78" t="s">
        <v>293</v>
      </c>
      <c r="D71" s="78">
        <v>6</v>
      </c>
      <c r="L71" s="182"/>
      <c r="M71" s="188"/>
      <c r="N71" s="183"/>
    </row>
    <row r="72" spans="2:14" x14ac:dyDescent="0.25">
      <c r="B72" s="91" t="s">
        <v>19</v>
      </c>
      <c r="C72" s="78" t="s">
        <v>293</v>
      </c>
      <c r="D72" s="78">
        <v>7</v>
      </c>
      <c r="L72" s="182"/>
      <c r="M72" s="189"/>
      <c r="N72" s="183"/>
    </row>
    <row r="73" spans="2:14" x14ac:dyDescent="0.25">
      <c r="B73" s="91" t="s">
        <v>20</v>
      </c>
      <c r="C73" s="78" t="s">
        <v>293</v>
      </c>
      <c r="D73" s="78">
        <v>9</v>
      </c>
      <c r="L73" s="182"/>
      <c r="M73" s="189"/>
      <c r="N73" s="183"/>
    </row>
    <row r="74" spans="2:14" x14ac:dyDescent="0.25">
      <c r="B74" s="91" t="s">
        <v>21</v>
      </c>
      <c r="C74" s="78" t="s">
        <v>293</v>
      </c>
      <c r="D74" s="78">
        <v>12</v>
      </c>
      <c r="L74" s="182"/>
      <c r="M74" s="189"/>
      <c r="N74" s="183"/>
    </row>
    <row r="75" spans="2:14" x14ac:dyDescent="0.25">
      <c r="L75" s="182"/>
      <c r="M75" s="190"/>
      <c r="N75" s="183"/>
    </row>
    <row r="76" spans="2:14" x14ac:dyDescent="0.25">
      <c r="B76" s="503" t="s">
        <v>447</v>
      </c>
      <c r="C76" s="503"/>
      <c r="D76" s="503"/>
      <c r="E76" s="504"/>
      <c r="F76" s="504"/>
      <c r="N76" s="183"/>
    </row>
    <row r="77" spans="2:14" x14ac:dyDescent="0.25">
      <c r="B77" s="179">
        <v>1</v>
      </c>
      <c r="C77" s="152">
        <v>60</v>
      </c>
      <c r="D77" s="152">
        <v>80</v>
      </c>
      <c r="E77" s="152">
        <v>100</v>
      </c>
      <c r="F77" s="152">
        <v>120</v>
      </c>
    </row>
    <row r="78" spans="2:14" x14ac:dyDescent="0.25">
      <c r="B78" s="179">
        <v>1.4361999999999999</v>
      </c>
      <c r="C78" s="203">
        <v>0.96409999999999996</v>
      </c>
      <c r="D78" s="203">
        <v>0.93899999999999995</v>
      </c>
      <c r="E78" s="203">
        <v>0.91359999999999997</v>
      </c>
      <c r="F78" s="203">
        <v>0.88759999999999994</v>
      </c>
    </row>
    <row r="79" spans="2:14" x14ac:dyDescent="0.25">
      <c r="B79" s="179">
        <v>1.4403999999999999</v>
      </c>
      <c r="C79" s="203">
        <v>0.95489999999999997</v>
      </c>
      <c r="D79" s="203">
        <v>0.92800000000000005</v>
      </c>
      <c r="E79" s="203">
        <v>0.90069999999999995</v>
      </c>
      <c r="F79" s="203">
        <v>0.87260000000000004</v>
      </c>
    </row>
    <row r="80" spans="2:14" x14ac:dyDescent="0.25">
      <c r="B80" s="179" t="s">
        <v>384</v>
      </c>
      <c r="C80" s="203">
        <v>1</v>
      </c>
      <c r="D80" s="203">
        <v>1</v>
      </c>
      <c r="E80" s="203">
        <v>1</v>
      </c>
      <c r="F80" s="203">
        <v>1</v>
      </c>
    </row>
    <row r="81" spans="2:6" x14ac:dyDescent="0.25">
      <c r="B81" s="179">
        <v>8</v>
      </c>
      <c r="C81" s="203">
        <v>0.8196</v>
      </c>
      <c r="D81" s="203">
        <v>0.76160000000000005</v>
      </c>
      <c r="E81" s="203">
        <v>0.70099999999999996</v>
      </c>
      <c r="F81" s="203">
        <v>0.63929999999999998</v>
      </c>
    </row>
    <row r="82" spans="2:6" x14ac:dyDescent="0.25">
      <c r="B82" s="197" t="s">
        <v>27</v>
      </c>
      <c r="C82" s="203">
        <v>0.8196</v>
      </c>
      <c r="D82" s="203">
        <v>0.76160000000000005</v>
      </c>
      <c r="E82" s="203">
        <v>0.70099999999999996</v>
      </c>
      <c r="F82" s="203">
        <v>0.63929999999999998</v>
      </c>
    </row>
    <row r="83" spans="2:6" x14ac:dyDescent="0.25">
      <c r="B83" s="179">
        <v>10</v>
      </c>
      <c r="C83" s="203">
        <v>0.87970000000000004</v>
      </c>
      <c r="D83" s="203">
        <v>0.83640000000000003</v>
      </c>
      <c r="E83" s="203">
        <v>0.79100000000000004</v>
      </c>
      <c r="F83" s="203">
        <v>0.74370000000000003</v>
      </c>
    </row>
    <row r="84" spans="2:6" x14ac:dyDescent="0.25">
      <c r="B84" s="179">
        <v>12</v>
      </c>
      <c r="C84" s="203">
        <v>0.91779999999999995</v>
      </c>
      <c r="D84" s="203">
        <v>0.88319999999999999</v>
      </c>
      <c r="E84" s="203">
        <v>0.84740000000000004</v>
      </c>
      <c r="F84" s="203">
        <v>0.81020000000000003</v>
      </c>
    </row>
    <row r="85" spans="2:6" x14ac:dyDescent="0.25">
      <c r="B85" s="197" t="s">
        <v>26</v>
      </c>
      <c r="C85" s="203">
        <v>0.91779999999999995</v>
      </c>
      <c r="D85" s="203">
        <v>0.88319999999999999</v>
      </c>
      <c r="E85" s="203">
        <v>0.84740000000000004</v>
      </c>
      <c r="F85" s="203">
        <v>0.81020000000000003</v>
      </c>
    </row>
    <row r="86" spans="2:6" x14ac:dyDescent="0.25">
      <c r="B86" s="197" t="s">
        <v>288</v>
      </c>
      <c r="C86" s="203">
        <v>0.94440000000000002</v>
      </c>
      <c r="D86" s="203">
        <v>0.91539999999999999</v>
      </c>
      <c r="E86" s="203">
        <v>0.88570000000000004</v>
      </c>
      <c r="F86" s="203">
        <v>0.85519999999999996</v>
      </c>
    </row>
    <row r="87" spans="2:6" x14ac:dyDescent="0.25">
      <c r="B87" s="179">
        <v>14</v>
      </c>
      <c r="C87" s="203">
        <v>0.94440000000000002</v>
      </c>
      <c r="D87" s="203">
        <v>0.91539999999999999</v>
      </c>
      <c r="E87" s="203">
        <v>0.88570000000000004</v>
      </c>
      <c r="F87" s="203">
        <v>0.85519999999999996</v>
      </c>
    </row>
    <row r="89" spans="2:6" x14ac:dyDescent="0.25">
      <c r="B89" s="503" t="s">
        <v>515</v>
      </c>
      <c r="C89" s="503"/>
      <c r="D89" s="503"/>
    </row>
    <row r="90" spans="2:6" x14ac:dyDescent="0.25">
      <c r="B90" s="214"/>
      <c r="C90" s="152" t="s">
        <v>513</v>
      </c>
      <c r="D90" s="152" t="s">
        <v>514</v>
      </c>
    </row>
    <row r="91" spans="2:6" x14ac:dyDescent="0.25">
      <c r="B91" s="214">
        <v>1</v>
      </c>
      <c r="C91" s="152">
        <v>2</v>
      </c>
      <c r="D91" s="152">
        <v>3</v>
      </c>
    </row>
    <row r="92" spans="2:6" x14ac:dyDescent="0.25">
      <c r="B92" s="214" t="s">
        <v>484</v>
      </c>
      <c r="C92" s="78">
        <v>5.3338000000000001</v>
      </c>
      <c r="D92" s="154">
        <v>1736</v>
      </c>
    </row>
    <row r="93" spans="2:6" x14ac:dyDescent="0.25">
      <c r="B93" s="214" t="s">
        <v>485</v>
      </c>
      <c r="C93" s="78">
        <v>5.3338000000000001</v>
      </c>
      <c r="D93" s="154">
        <v>1736</v>
      </c>
    </row>
    <row r="94" spans="2:6" x14ac:dyDescent="0.25">
      <c r="B94" s="214" t="s">
        <v>512</v>
      </c>
      <c r="C94" s="78">
        <v>5.7159000000000004</v>
      </c>
      <c r="D94" s="154">
        <v>2386</v>
      </c>
    </row>
    <row r="95" spans="2:6" x14ac:dyDescent="0.25">
      <c r="B95" s="214" t="s">
        <v>512</v>
      </c>
      <c r="C95" s="78">
        <v>5.7159000000000004</v>
      </c>
      <c r="D95" s="154">
        <v>2386</v>
      </c>
    </row>
  </sheetData>
  <sheetProtection password="C1ED" sheet="1" objects="1" scenarios="1" selectLockedCells="1"/>
  <mergeCells count="6">
    <mergeCell ref="B89:D89"/>
    <mergeCell ref="B76:F76"/>
    <mergeCell ref="B31:F31"/>
    <mergeCell ref="B43:F43"/>
    <mergeCell ref="B55:D55"/>
    <mergeCell ref="B62:D62"/>
  </mergeCells>
  <pageMargins left="0.7" right="0.7" top="0.78740157499999996" bottom="0.78740157499999996" header="0.3" footer="0.3"/>
  <pageSetup paperSize="9" orientation="portrait" r:id="rId1"/>
  <ignoredErrors>
    <ignoredError sqref="B33:F54 B61:F6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CRBDOC0226-538425530-86151</_dlc_DocId>
    <_dlc_DocIdUrl xmlns="d564a89d-9287-4e5f-9ef6-e5f137d90db6">
      <Url>https://crbch.sharepoint.com/sites/team-prd-ablagestruktur-fur-kunden/_layouts/15/DocIdRedir.aspx?ID=CRBDOC0226-538425530-86151</Url>
      <Description>CRBDOC0226-538425530-86151</Description>
    </_dlc_DocIdUrl>
  </documentManagement>
</p:properties>
</file>

<file path=customXml/itemProps1.xml><?xml version="1.0" encoding="utf-8"?>
<ds:datastoreItem xmlns:ds="http://schemas.openxmlformats.org/officeDocument/2006/customXml" ds:itemID="{1A31A6D2-47F5-4795-A8D4-61BF399AE93E}"/>
</file>

<file path=customXml/itemProps2.xml><?xml version="1.0" encoding="utf-8"?>
<ds:datastoreItem xmlns:ds="http://schemas.openxmlformats.org/officeDocument/2006/customXml" ds:itemID="{549E1D57-9211-430F-99F9-35DBE8F29E92}"/>
</file>

<file path=customXml/itemProps3.xml><?xml version="1.0" encoding="utf-8"?>
<ds:datastoreItem xmlns:ds="http://schemas.openxmlformats.org/officeDocument/2006/customXml" ds:itemID="{168ADF91-8686-4DF6-9CB2-5267520A46AE}"/>
</file>

<file path=customXml/itemProps4.xml><?xml version="1.0" encoding="utf-8"?>
<ds:datastoreItem xmlns:ds="http://schemas.openxmlformats.org/officeDocument/2006/customXml" ds:itemID="{C237D419-FDE6-4F46-9A63-75D3C46142A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ebea KP</vt:lpstr>
      <vt:lpstr>.</vt:lpstr>
      <vt:lpstr>TW</vt:lpstr>
      <vt:lpstr>BP</vt:lpstr>
      <vt:lpstr>'ebea KP'!Druckbereich</vt:lpstr>
      <vt:lpstr>'ebea KP'!Print_Area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Formulaire de commande</dc:title>
  <dc:creator>Karim Limacher</dc:creator>
  <cp:lastModifiedBy>Limacher Karim</cp:lastModifiedBy>
  <cp:lastPrinted>2022-11-08T20:36:55Z</cp:lastPrinted>
  <dcterms:created xsi:type="dcterms:W3CDTF">2015-05-11T05:08:10Z</dcterms:created>
  <dcterms:modified xsi:type="dcterms:W3CDTF">2022-11-08T20:38:56Z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f7c57142-585d-46ac-be61-8916a8d911bc</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